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Nh3sR9/WkflUcj9xmQkbk+Gs6sE4qAndsPnv94s4TqQJIV5jWkoIFH4CNI6Sl0QilFxqvZnyh+G2Qn2UXglYaw==" workbookSpinCount="100000" workbookSaltValue="wTYyXd6RkN4YictrP1VVbQ==" lockStructure="1"/>
  <bookViews>
    <workbookView xWindow="0" yWindow="0" windowWidth="20730" windowHeight="10335" firstSheet="1" activeTab="2"/>
  </bookViews>
  <sheets>
    <sheet name="FDV" sheetId="1" state="hidden" r:id="rId1"/>
    <sheet name="CDV_PROY_BT" sheetId="4" r:id="rId2"/>
    <sheet name="CDV_PROY_MT" sheetId="8" r:id="rId3"/>
    <sheet name="CDV_EXIST_BT" sheetId="6" state="hidden" r:id="rId4"/>
    <sheet name="CDV_PROY_AP" sheetId="7" state="hidden" r:id="rId5"/>
    <sheet name="Estratos SCX - ISA" sheetId="3" state="hidden" r:id="rId6"/>
    <sheet name="Estratos SCY - FLO" sheetId="2" state="hidden" r:id="rId7"/>
  </sheets>
  <definedNames>
    <definedName name="_xlnm.Print_Area" localSheetId="1">'CDV_PROY_BT'!$A$1:$N$58</definedName>
    <definedName name="_xlnm.Print_Area" localSheetId="2">'CDV_PROY_MT'!$A$1:$N$58</definedName>
    <definedName name="CRISTOBAL" localSheetId="3">'CDV_EXIST_BT'!$S$11:$S$12</definedName>
    <definedName name="CRISTOBAL" localSheetId="4">'CDV_PROY_AP'!$S$11:$S$12</definedName>
    <definedName name="CRISTOBAL" localSheetId="2">'CDV_PROY_MT'!$U$11:$U$12</definedName>
    <definedName name="CRISTOBAL">'CDV_PROY_BT'!$U$11:$U$12</definedName>
    <definedName name="SAN" localSheetId="3">'CDV_EXIST_BT'!$S$11:$S$12</definedName>
    <definedName name="SAN" localSheetId="4">'CDV_PROY_AP'!$S$11:$S$12</definedName>
    <definedName name="SAN" localSheetId="2">'CDV_PROY_MT'!$U$11:$U$12</definedName>
    <definedName name="SAN">'CDV_PROY_BT'!$U$11:$U$12</definedName>
    <definedName name="SCX" localSheetId="3">'CDV_EXIST_BT'!$R$11:$R$13</definedName>
    <definedName name="SCX" localSheetId="4">'CDV_PROY_AP'!$R$11:$R$13</definedName>
    <definedName name="SCX" localSheetId="2">'CDV_PROY_MT'!$T$11:$T$13</definedName>
    <definedName name="SCX">'CDV_PROY_BT'!$T$11:$T$13</definedName>
    <definedName name="SCY" localSheetId="3">'CDV_EXIST_BT'!$S$11:$S$12</definedName>
    <definedName name="SCY" localSheetId="4">'CDV_PROY_AP'!$S$11:$S$12</definedName>
    <definedName name="SCY" localSheetId="2">'CDV_PROY_MT'!$U$11:$U$12</definedName>
    <definedName name="SCY">'CDV_PROY_BT'!$U$11:$U$12</definedName>
    <definedName name="WWWW" localSheetId="3">'CDV_EXIST_BT'!$S$11:$S$12</definedName>
    <definedName name="WWWW" localSheetId="4">'CDV_PROY_AP'!$S$11:$S$12</definedName>
    <definedName name="WWWW" localSheetId="2">'CDV_PROY_MT'!$U$11:$U$12</definedName>
    <definedName name="WWWW">'CDV_PROY_BT'!$U$11:$U$12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3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E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4.xml><?xml version="1.0" encoding="utf-8"?>
<comments xmlns="http://schemas.openxmlformats.org/spreadsheetml/2006/main">
  <authors>
    <author>ni¤os</author>
    <author>Ing. Damián Merchán P.</author>
  </authors>
  <commentList>
    <comment ref="D23" authorId="0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 xml:space="preserve">No considera el Neutro
</t>
        </r>
      </text>
    </comment>
    <comment ref="N23" authorId="1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5.xml><?xml version="1.0" encoding="utf-8"?>
<comments xmlns="http://schemas.openxmlformats.org/spreadsheetml/2006/main">
  <authors>
    <author>TOBIAS VERDUGO ISRAEL</author>
    <author>ni¤os</author>
    <author>Ing. Damián Merchán P.</author>
  </authors>
  <commentList>
    <comment ref="A22" authorId="0">
      <text>
        <r>
          <rPr>
            <b/>
            <sz val="9"/>
            <rFont val="Tahoma"/>
            <family val="2"/>
          </rPr>
          <t>Iniciar con el poste/pozo del Trafo.</t>
        </r>
      </text>
    </comment>
    <comment ref="D22" authorId="1">
      <text>
        <r>
          <rPr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8"/>
            <rFont val="Tahoma"/>
            <family val="2"/>
          </rPr>
          <t>Acumulados en el Nodo</t>
        </r>
        <r>
          <rPr>
            <sz val="8"/>
            <rFont val="Tahoma"/>
            <family val="2"/>
          </rPr>
          <t xml:space="preserve">
</t>
        </r>
      </text>
    </comment>
    <comment ref="G22" authorId="1">
      <text>
        <r>
          <rPr>
            <sz val="8"/>
            <rFont val="Tahoma"/>
            <family val="2"/>
          </rPr>
          <t xml:space="preserve">No considera el Neutro
</t>
        </r>
      </text>
    </comment>
    <comment ref="N22" authorId="2">
      <text>
        <r>
          <rPr>
            <b/>
            <sz val="8"/>
            <rFont val="Tahoma"/>
            <family val="2"/>
          </rPr>
          <t>Valores que deben dibujarse en los puntos respectivos del plano</t>
        </r>
      </text>
    </comment>
  </commentList>
</comments>
</file>

<file path=xl/comments6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TOBIAS VERDUGO ISRAEL</author>
  </authors>
  <commentList>
    <comment ref="U3" authorId="0">
      <text>
        <r>
          <rPr>
            <b/>
            <sz val="9"/>
            <rFont val="Tahoma"/>
            <family val="2"/>
          </rPr>
          <t>DEMANDA PROMEDIO</t>
        </r>
      </text>
    </comment>
    <comment ref="V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DEMANDA PROMEDIO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<sst xmlns="http://schemas.openxmlformats.org/spreadsheetml/2006/main" count="733" uniqueCount="174">
  <si>
    <t>1/0</t>
  </si>
  <si>
    <t>2/0</t>
  </si>
  <si>
    <t>3/0</t>
  </si>
  <si>
    <t>4/0</t>
  </si>
  <si>
    <t>Neutro</t>
  </si>
  <si>
    <t>Fase</t>
  </si>
  <si>
    <t>5005 (preensamblado)</t>
  </si>
  <si>
    <t>ACS</t>
  </si>
  <si>
    <t>Cobre</t>
  </si>
  <si>
    <t>ACSR</t>
  </si>
  <si>
    <t>Conductor</t>
  </si>
  <si>
    <t># DE USUARIOS</t>
  </si>
  <si>
    <t>ESTRATO A1</t>
  </si>
  <si>
    <t>ESTRATO A</t>
  </si>
  <si>
    <t>ESTRATO B</t>
  </si>
  <si>
    <t>ESTRATO C</t>
  </si>
  <si>
    <t>CON EQUIPAMIENTO ELÉCTRICO PARA USO GENERAL COCCIÓN Y CALENTAMIENTO DE AGUA</t>
  </si>
  <si>
    <t>CON EQUIPAMIENTO ELÉCTRICO PARA USO GENERAL</t>
  </si>
  <si>
    <t>DD [kVA]</t>
  </si>
  <si>
    <t>Energía total [kWh/mes/usuario]</t>
  </si>
  <si>
    <t>TRANSFORMADOR [kVA]</t>
  </si>
  <si>
    <t>//RD//</t>
  </si>
  <si>
    <t>SI</t>
  </si>
  <si>
    <t>LOCALIDAD:</t>
  </si>
  <si>
    <t>TIPO DE OBRA:</t>
  </si>
  <si>
    <t xml:space="preserve">   Tipo de</t>
  </si>
  <si>
    <t>Conductor:</t>
  </si>
  <si>
    <t>COBRE</t>
  </si>
  <si>
    <t>Red de B.T.:</t>
  </si>
  <si>
    <t>1F</t>
  </si>
  <si>
    <t>REF. TRANSFORMADOR:</t>
  </si>
  <si>
    <t>N° Total Abon.</t>
  </si>
  <si>
    <t>Diseñado por:</t>
  </si>
  <si>
    <t>VOLTAJE SECUNDARIO:</t>
  </si>
  <si>
    <t>A.P. Total [w]</t>
  </si>
  <si>
    <t>Fecha:</t>
  </si>
  <si>
    <t>ESQUEMA:</t>
  </si>
  <si>
    <t>Remitirse al plano de redes proyectadas</t>
  </si>
  <si>
    <t xml:space="preserve">     TRAMO</t>
  </si>
  <si>
    <t>Longit.</t>
  </si>
  <si>
    <t>N°</t>
  </si>
  <si>
    <t>Al.Púb.</t>
  </si>
  <si>
    <t>CARGA</t>
  </si>
  <si>
    <t>CONDUCTOR</t>
  </si>
  <si>
    <t>kva x m</t>
  </si>
  <si>
    <t>CAIDA DE TENSION</t>
  </si>
  <si>
    <t>Inicio</t>
  </si>
  <si>
    <t>Fin</t>
  </si>
  <si>
    <t>[m]</t>
  </si>
  <si>
    <t>ABON.</t>
  </si>
  <si>
    <t>(W)</t>
  </si>
  <si>
    <t>[kva]</t>
  </si>
  <si>
    <t>N° fases</t>
  </si>
  <si>
    <t>F.D.V.</t>
  </si>
  <si>
    <t>PARCIAL</t>
  </si>
  <si>
    <t>ACUM.</t>
  </si>
  <si>
    <t>MAXIMOS</t>
  </si>
  <si>
    <t>1/0 =</t>
  </si>
  <si>
    <t>2 =</t>
  </si>
  <si>
    <t>metros</t>
  </si>
  <si>
    <t>NOTAS:</t>
  </si>
  <si>
    <t>DV Máx:</t>
  </si>
  <si>
    <t>EMPRESA ELECTRICA PROVINCIAL GALAPAGOS S.A</t>
  </si>
  <si>
    <t>LOCALIDAD</t>
  </si>
  <si>
    <t>SAN CRISTOBAL</t>
  </si>
  <si>
    <t>FLOREANA</t>
  </si>
  <si>
    <t xml:space="preserve">SANTA CRUZ </t>
  </si>
  <si>
    <t>ISABELA</t>
  </si>
  <si>
    <t>ELECTRIFICACION NUEVA</t>
  </si>
  <si>
    <t>TIPO CONDUCTOR</t>
  </si>
  <si>
    <t>5005 (PREENSAMBLADO)</t>
  </si>
  <si>
    <t>ESTRATO:</t>
  </si>
  <si>
    <t>ESTRATOS</t>
  </si>
  <si>
    <t>A1</t>
  </si>
  <si>
    <t>B</t>
  </si>
  <si>
    <t>C</t>
  </si>
  <si>
    <t>A</t>
  </si>
  <si>
    <t>TIPO RED BT</t>
  </si>
  <si>
    <t>3F</t>
  </si>
  <si>
    <t>CALIBRES</t>
  </si>
  <si>
    <t xml:space="preserve"> f:) _______</t>
  </si>
  <si>
    <t>SECTOR:</t>
  </si>
  <si>
    <t>MEJORA URBANA</t>
  </si>
  <si>
    <t>MEJORA RURAL</t>
  </si>
  <si>
    <t>Puerto Baquerizo Moreno</t>
  </si>
  <si>
    <t>El Progreso</t>
  </si>
  <si>
    <t>Isla Santa Maria</t>
  </si>
  <si>
    <t xml:space="preserve">Puerto Ayora </t>
  </si>
  <si>
    <t>Bellavista</t>
  </si>
  <si>
    <t>Santa Rosa</t>
  </si>
  <si>
    <t>Puerto Villamil</t>
  </si>
  <si>
    <t>Tomas de Berlanga</t>
  </si>
  <si>
    <t xml:space="preserve">      PARROQUIA:</t>
  </si>
  <si>
    <t>DEMANDA TOTAL (KVA):</t>
  </si>
  <si>
    <t>NOTA: Estratos:  "A1 (Casco Urbano-Sector hotelero)"; "A (Barrios Centricos)"; "B(Zona Periferica)", "C(Zona Rural)"</t>
  </si>
  <si>
    <t>2/0 =</t>
  </si>
  <si>
    <t xml:space="preserve">4/0 = </t>
  </si>
  <si>
    <t>3/0 =</t>
  </si>
  <si>
    <t>Longitud Neutro</t>
  </si>
  <si>
    <t>Longitud Fases</t>
  </si>
  <si>
    <t>1F 3H   (120/240)</t>
  </si>
  <si>
    <t>3F 4H (220/127)</t>
  </si>
  <si>
    <t>El transformador está en el poste/pozo:</t>
  </si>
  <si>
    <t>4=</t>
  </si>
  <si>
    <r>
      <t>Resumen de Conductor Fase: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                                                                                                        </t>
    </r>
  </si>
  <si>
    <t>AWG-FASE</t>
  </si>
  <si>
    <t>AWG-NEUTRO</t>
  </si>
  <si>
    <r>
      <t>Resumen de Conductor Neutro:</t>
    </r>
    <r>
      <rPr>
        <sz val="10"/>
        <rFont val="Arial"/>
        <family val="2"/>
      </rPr>
      <t xml:space="preserve"> (Incluye el 1.5 % de Desperdicio)  </t>
    </r>
    <r>
      <rPr>
        <sz val="9"/>
        <rFont val="Arial"/>
        <family val="2"/>
      </rPr>
      <t xml:space="preserve">                                                                                                             </t>
    </r>
  </si>
  <si>
    <t xml:space="preserve">               DIRECCION TECNICA</t>
  </si>
  <si>
    <t xml:space="preserve">             CALCULO DE CAIDA DE TENSION (B.T. Existente)</t>
  </si>
  <si>
    <t xml:space="preserve">          Longitud de red de B.T.:</t>
  </si>
  <si>
    <t xml:space="preserve"> CALCULO DE CAIDA DE TENSION (B.T. Proyectado)</t>
  </si>
  <si>
    <r>
      <t>Resumen de Conductor: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(Incluye el 1.5 % de Desperdicio)  </t>
    </r>
  </si>
  <si>
    <t>Remitirse al plano de redes existentes</t>
  </si>
  <si>
    <t xml:space="preserve">MEJORA </t>
  </si>
  <si>
    <t>EXPANSION</t>
  </si>
  <si>
    <t>NO</t>
  </si>
  <si>
    <t>A.P</t>
  </si>
  <si>
    <t>TRAFO exclusivo para A.P</t>
  </si>
  <si>
    <t xml:space="preserve">              DIRECCION TECNICA</t>
  </si>
  <si>
    <t xml:space="preserve">                                                        EMPRESA ELECTRICA PROVINCIAL GALAPAGOS S.A</t>
  </si>
  <si>
    <t>Anexo/Hoja N:</t>
  </si>
  <si>
    <t xml:space="preserve">                Longitud de red de B.T.:</t>
  </si>
  <si>
    <t>4 =</t>
  </si>
  <si>
    <t>6 =</t>
  </si>
  <si>
    <t xml:space="preserve">                                                                                CALCULO DE CAIDA DE TENSION (A.P. Proyectado)</t>
  </si>
  <si>
    <t>POT. NOMINAL TRAFO. EXISTENTE (KVA):</t>
  </si>
  <si>
    <t>T1</t>
  </si>
  <si>
    <t>P1</t>
  </si>
  <si>
    <t>Cliente-Formula/kVA</t>
  </si>
  <si>
    <t>Carpinterias</t>
  </si>
  <si>
    <t>Mecanica+Vulcanizadora</t>
  </si>
  <si>
    <t>Mecanicas+Cerrajerias</t>
  </si>
  <si>
    <t>TIPO DE CLIENTE</t>
  </si>
  <si>
    <t>RESIDENCIAL</t>
  </si>
  <si>
    <t>COMERCIAL</t>
  </si>
  <si>
    <t>INDUSTRIAL</t>
  </si>
  <si>
    <t>Tipo de cliente:</t>
  </si>
  <si>
    <t>Factor Sobre Carga Trafo:</t>
  </si>
  <si>
    <t>FC</t>
  </si>
  <si>
    <t>DEMANDA TOTAL CON F.S.C (KVA):</t>
  </si>
  <si>
    <t xml:space="preserve">      VOLTAJE SECUNDARIO:</t>
  </si>
  <si>
    <t xml:space="preserve">    Red de B.T.:</t>
  </si>
  <si>
    <t xml:space="preserve">1F 2C   </t>
  </si>
  <si>
    <t xml:space="preserve">3F 4C </t>
  </si>
  <si>
    <t xml:space="preserve">     NIVEL DE TENSION:</t>
  </si>
  <si>
    <t xml:space="preserve"> CALCULO DE CAIDA DE TENSION (M.T. Proyectado)</t>
  </si>
  <si>
    <t>N° Total Trafos.</t>
  </si>
  <si>
    <t xml:space="preserve">    Red de M.T.:</t>
  </si>
  <si>
    <t>POTENCIA TOTAL TRAFOS (KVA):</t>
  </si>
  <si>
    <t>kVA</t>
  </si>
  <si>
    <t>poste/pozo de arranque:</t>
  </si>
  <si>
    <t xml:space="preserve"> PARROQUIA:</t>
  </si>
  <si>
    <t xml:space="preserve">      CDV - ACUMULADO:</t>
  </si>
  <si>
    <t>kva x km</t>
  </si>
  <si>
    <t>FDV (Kva x m) al 1%</t>
  </si>
  <si>
    <t>FDV (kVA x Km) al 1%  -----  13.8/7.6 kV</t>
  </si>
  <si>
    <t>CDV-ACUMULADO:</t>
  </si>
  <si>
    <t>CDV - URBANO</t>
  </si>
  <si>
    <t>CDV -RURAL</t>
  </si>
  <si>
    <t>AEREO</t>
  </si>
  <si>
    <t>SUBTERRANEO</t>
  </si>
  <si>
    <t>LIMITES - CDV - %</t>
  </si>
  <si>
    <t>TOT. AP. W</t>
  </si>
  <si>
    <t>TOT. CLIENTES</t>
  </si>
  <si>
    <t>J.P</t>
  </si>
  <si>
    <t>San Tomas de Berlanga</t>
  </si>
  <si>
    <t>P5</t>
  </si>
  <si>
    <t>P6</t>
  </si>
  <si>
    <t>4 / 1 DE 2</t>
  </si>
  <si>
    <t>P7</t>
  </si>
  <si>
    <t>Chacra Nueva</t>
  </si>
  <si>
    <t>JEFATURA DE PLANIFICACION</t>
  </si>
  <si>
    <t>3 /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</si>
</sst>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wis721 LtCn BT"/>
      <family val="2"/>
    </font>
    <font>
      <b/>
      <sz val="14"/>
      <color theme="1"/>
      <name val="Swis721 LtCn BT"/>
      <family val="2"/>
    </font>
    <font>
      <b/>
      <sz val="10"/>
      <color theme="1"/>
      <name val="Swis721 LtCn BT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rgb="FFFF000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6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1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49" fontId="5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49" fontId="0" fillId="6" borderId="0" xfId="0" applyNumberFormat="1" applyFill="1" applyBorder="1" applyProtection="1"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Protection="1">
      <protection hidden="1"/>
    </xf>
    <xf numFmtId="0" fontId="12" fillId="6" borderId="0" xfId="0" applyFont="1" applyFill="1" applyBorder="1" applyAlignment="1" applyProtection="1">
      <alignment horizontal="left"/>
      <protection hidden="1"/>
    </xf>
    <xf numFmtId="0" fontId="5" fillId="6" borderId="6" xfId="0" applyFont="1" applyFill="1" applyBorder="1" applyAlignment="1" applyProtection="1">
      <alignment/>
      <protection hidden="1"/>
    </xf>
    <xf numFmtId="0" fontId="0" fillId="6" borderId="6" xfId="0" applyFill="1" applyBorder="1" applyProtection="1">
      <protection hidden="1"/>
    </xf>
    <xf numFmtId="0" fontId="10" fillId="6" borderId="0" xfId="0" applyFont="1" applyFill="1" applyBorder="1" applyAlignment="1" applyProtection="1">
      <alignment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1" fillId="6" borderId="8" xfId="0" applyFont="1" applyFill="1" applyBorder="1" applyAlignment="1" applyProtection="1">
      <alignment horizontal="left"/>
      <protection hidden="1"/>
    </xf>
    <xf numFmtId="49" fontId="0" fillId="6" borderId="8" xfId="0" applyNumberFormat="1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0" fillId="6" borderId="12" xfId="0" applyFill="1" applyBorder="1" applyProtection="1">
      <protection hidden="1"/>
    </xf>
    <xf numFmtId="49" fontId="0" fillId="6" borderId="6" xfId="0" applyNumberFormat="1" applyFill="1" applyBorder="1" applyProtection="1">
      <protection hidden="1"/>
    </xf>
    <xf numFmtId="0" fontId="13" fillId="6" borderId="7" xfId="0" applyFont="1" applyFill="1" applyBorder="1" applyAlignment="1" applyProtection="1">
      <alignment vertical="center"/>
      <protection hidden="1"/>
    </xf>
    <xf numFmtId="0" fontId="14" fillId="6" borderId="8" xfId="0" applyFont="1" applyFill="1" applyBorder="1" applyAlignment="1" applyProtection="1">
      <alignment vertical="center"/>
      <protection hidden="1"/>
    </xf>
    <xf numFmtId="0" fontId="15" fillId="6" borderId="8" xfId="0" applyFont="1" applyFill="1" applyBorder="1" applyAlignment="1" applyProtection="1">
      <alignment vertical="center"/>
      <protection hidden="1"/>
    </xf>
    <xf numFmtId="0" fontId="0" fillId="6" borderId="8" xfId="0" applyFill="1" applyBorder="1" applyAlignment="1" applyProtection="1">
      <alignment vertical="center"/>
      <protection hidden="1"/>
    </xf>
    <xf numFmtId="49" fontId="0" fillId="6" borderId="8" xfId="0" applyNumberFormat="1" applyFill="1" applyBorder="1" applyAlignment="1" applyProtection="1">
      <alignment vertical="center"/>
      <protection hidden="1"/>
    </xf>
    <xf numFmtId="0" fontId="0" fillId="6" borderId="13" xfId="0" applyFill="1" applyBorder="1" applyProtection="1"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49" fontId="5" fillId="6" borderId="11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2" fontId="1" fillId="6" borderId="17" xfId="0" applyNumberFormat="1" applyFont="1" applyFill="1" applyBorder="1" applyAlignment="1" applyProtection="1">
      <alignment horizontal="center"/>
      <protection hidden="1"/>
    </xf>
    <xf numFmtId="0" fontId="1" fillId="6" borderId="17" xfId="0" applyNumberFormat="1" applyFont="1" applyFill="1" applyBorder="1" applyAlignment="1" applyProtection="1">
      <alignment horizontal="center"/>
      <protection hidden="1"/>
    </xf>
    <xf numFmtId="1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8" xfId="0" applyNumberFormat="1" applyFont="1" applyFill="1" applyBorder="1" applyAlignment="1" applyProtection="1">
      <alignment horizontal="center"/>
      <protection hidden="1"/>
    </xf>
    <xf numFmtId="2" fontId="1" fillId="6" borderId="1" xfId="0" applyNumberFormat="1" applyFont="1" applyFill="1" applyBorder="1" applyAlignment="1" applyProtection="1">
      <alignment horizontal="center"/>
      <protection hidden="1"/>
    </xf>
    <xf numFmtId="1" fontId="1" fillId="6" borderId="1" xfId="0" applyNumberFormat="1" applyFont="1" applyFill="1" applyBorder="1" applyAlignment="1" applyProtection="1">
      <alignment horizontal="center"/>
      <protection hidden="1"/>
    </xf>
    <xf numFmtId="2" fontId="1" fillId="6" borderId="19" xfId="0" applyNumberFormat="1" applyFont="1" applyFill="1" applyBorder="1" applyAlignment="1" applyProtection="1">
      <alignment horizontal="center"/>
      <protection hidden="1"/>
    </xf>
    <xf numFmtId="1" fontId="1" fillId="6" borderId="19" xfId="0" applyNumberFormat="1" applyFont="1" applyFill="1" applyBorder="1" applyAlignment="1" applyProtection="1">
      <alignment horizontal="center"/>
      <protection hidden="1"/>
    </xf>
    <xf numFmtId="2" fontId="1" fillId="6" borderId="20" xfId="0" applyNumberFormat="1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2" fontId="1" fillId="6" borderId="21" xfId="0" applyNumberFormat="1" applyFont="1" applyFill="1" applyBorder="1" applyAlignment="1" applyProtection="1">
      <alignment horizontal="center"/>
      <protection hidden="1"/>
    </xf>
    <xf numFmtId="0" fontId="1" fillId="6" borderId="21" xfId="0" applyNumberFormat="1" applyFont="1" applyFill="1" applyBorder="1" applyAlignment="1" applyProtection="1">
      <alignment horizontal="center"/>
      <protection hidden="1"/>
    </xf>
    <xf numFmtId="0" fontId="1" fillId="0" borderId="21" xfId="0" applyNumberFormat="1" applyFont="1" applyFill="1" applyBorder="1" applyAlignment="1" applyProtection="1">
      <alignment horizontal="center"/>
      <protection hidden="1"/>
    </xf>
    <xf numFmtId="1" fontId="1" fillId="6" borderId="21" xfId="0" applyNumberFormat="1" applyFont="1" applyFill="1" applyBorder="1" applyAlignment="1" applyProtection="1">
      <alignment horizontal="center"/>
      <protection hidden="1"/>
    </xf>
    <xf numFmtId="2" fontId="1" fillId="7" borderId="21" xfId="0" applyNumberFormat="1" applyFont="1" applyFill="1" applyBorder="1" applyAlignment="1" applyProtection="1">
      <alignment horizont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18" fillId="6" borderId="6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2" fontId="18" fillId="6" borderId="6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Alignment="1" applyProtection="1">
      <alignment horizontal="center"/>
      <protection hidden="1"/>
    </xf>
    <xf numFmtId="1" fontId="18" fillId="6" borderId="6" xfId="0" applyNumberFormat="1" applyFont="1" applyFill="1" applyBorder="1" applyAlignment="1" applyProtection="1">
      <alignment horizontal="center"/>
      <protection hidden="1"/>
    </xf>
    <xf numFmtId="0" fontId="18" fillId="6" borderId="6" xfId="0" applyNumberFormat="1" applyFont="1" applyFill="1" applyBorder="1" applyAlignment="1" applyProtection="1">
      <alignment horizontal="center"/>
      <protection hidden="1"/>
    </xf>
    <xf numFmtId="2" fontId="9" fillId="6" borderId="12" xfId="0" applyNumberFormat="1" applyFont="1" applyFill="1" applyBorder="1" applyAlignment="1" applyProtection="1">
      <alignment horizontal="right"/>
      <protection hidden="1"/>
    </xf>
    <xf numFmtId="3" fontId="1" fillId="6" borderId="22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9" fillId="6" borderId="16" xfId="0" applyFont="1" applyFill="1" applyBorder="1" applyAlignment="1" applyProtection="1">
      <alignment horizontal="left"/>
      <protection hidden="1"/>
    </xf>
    <xf numFmtId="2" fontId="0" fillId="6" borderId="14" xfId="0" applyNumberFormat="1" applyFill="1" applyBorder="1" applyAlignment="1" applyProtection="1">
      <alignment horizontal="center"/>
      <protection hidden="1"/>
    </xf>
    <xf numFmtId="2" fontId="9" fillId="6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5" fillId="6" borderId="15" xfId="0" applyFont="1" applyFill="1" applyBorder="1" applyAlignment="1" applyProtection="1">
      <alignment horizontal="right"/>
      <protection hidden="1"/>
    </xf>
    <xf numFmtId="2" fontId="9" fillId="6" borderId="0" xfId="0" applyNumberFormat="1" applyFont="1" applyFill="1" applyBorder="1" applyAlignment="1" applyProtection="1">
      <alignment horizontal="right"/>
      <protection hidden="1"/>
    </xf>
    <xf numFmtId="3" fontId="1" fillId="6" borderId="0" xfId="0" applyNumberFormat="1" applyFont="1" applyFill="1" applyBorder="1" applyAlignment="1" applyProtection="1">
      <alignment horizontal="center"/>
      <protection hidden="1"/>
    </xf>
    <xf numFmtId="2" fontId="9" fillId="6" borderId="3" xfId="0" applyNumberFormat="1" applyFont="1" applyFill="1" applyBorder="1" applyAlignment="1" applyProtection="1">
      <alignment horizontal="right"/>
      <protection hidden="1"/>
    </xf>
    <xf numFmtId="3" fontId="1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3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5" fillId="6" borderId="13" xfId="0" applyFont="1" applyFill="1" applyBorder="1" applyAlignment="1" applyProtection="1">
      <alignment horizontal="right"/>
      <protection hidden="1"/>
    </xf>
    <xf numFmtId="2" fontId="1" fillId="6" borderId="9" xfId="0" applyNumberFormat="1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49" fontId="0" fillId="6" borderId="0" xfId="0" applyNumberForma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/>
      <protection hidden="1"/>
    </xf>
    <xf numFmtId="3" fontId="1" fillId="6" borderId="5" xfId="0" applyNumberFormat="1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2" fontId="21" fillId="6" borderId="0" xfId="0" applyNumberFormat="1" applyFont="1" applyFill="1" applyBorder="1" applyAlignment="1" applyProtection="1">
      <alignment horizontal="right"/>
      <protection hidden="1"/>
    </xf>
    <xf numFmtId="0" fontId="26" fillId="6" borderId="12" xfId="0" applyFont="1" applyFill="1" applyBorder="1" applyProtection="1">
      <protection hidden="1"/>
    </xf>
    <xf numFmtId="0" fontId="5" fillId="6" borderId="22" xfId="0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right" vertical="center"/>
      <protection hidden="1"/>
    </xf>
    <xf numFmtId="2" fontId="1" fillId="6" borderId="14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Protection="1"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8" fillId="6" borderId="32" xfId="0" applyFont="1" applyFill="1" applyBorder="1" applyAlignment="1" applyProtection="1">
      <alignment horizontal="center"/>
      <protection hidden="1"/>
    </xf>
    <xf numFmtId="0" fontId="18" fillId="6" borderId="21" xfId="0" applyFont="1" applyFill="1" applyBorder="1" applyAlignment="1" applyProtection="1">
      <alignment horizontal="center"/>
      <protection hidden="1"/>
    </xf>
    <xf numFmtId="3" fontId="19" fillId="6" borderId="21" xfId="0" applyNumberFormat="1" applyFont="1" applyFill="1" applyBorder="1" applyAlignment="1" applyProtection="1">
      <alignment horizontal="right"/>
      <protection hidden="1"/>
    </xf>
    <xf numFmtId="1" fontId="18" fillId="6" borderId="21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8" fillId="6" borderId="12" xfId="0" applyFont="1" applyFill="1" applyBorder="1" applyProtection="1">
      <protection hidden="1"/>
    </xf>
    <xf numFmtId="0" fontId="0" fillId="0" borderId="11" xfId="0" applyBorder="1" applyProtection="1">
      <protection hidden="1" locked="0"/>
    </xf>
    <xf numFmtId="0" fontId="1" fillId="6" borderId="11" xfId="0" applyFont="1" applyFill="1" applyBorder="1" applyAlignment="1" applyProtection="1">
      <alignment horizontal="center"/>
      <protection hidden="1" locked="0"/>
    </xf>
    <xf numFmtId="3" fontId="5" fillId="6" borderId="11" xfId="0" applyNumberFormat="1" applyFont="1" applyFill="1" applyBorder="1" applyAlignment="1" applyProtection="1">
      <alignment horizontal="center"/>
      <protection hidden="1" locked="0"/>
    </xf>
    <xf numFmtId="0" fontId="9" fillId="6" borderId="11" xfId="0" applyFont="1" applyFill="1" applyBorder="1" applyAlignment="1" applyProtection="1">
      <alignment horizontal="center"/>
      <protection hidden="1" locked="0"/>
    </xf>
    <xf numFmtId="0" fontId="17" fillId="6" borderId="11" xfId="0" applyFont="1" applyFill="1" applyBorder="1" applyAlignment="1" applyProtection="1">
      <alignment horizontal="center" vertical="center"/>
      <protection hidden="1" locked="0"/>
    </xf>
    <xf numFmtId="2" fontId="1" fillId="6" borderId="33" xfId="0" applyNumberFormat="1" applyFont="1" applyFill="1" applyBorder="1" applyAlignment="1" applyProtection="1">
      <alignment horizontal="center"/>
      <protection hidden="1" locked="0"/>
    </xf>
    <xf numFmtId="2" fontId="1" fillId="6" borderId="34" xfId="0" applyNumberFormat="1" applyFont="1" applyFill="1" applyBorder="1" applyAlignment="1" applyProtection="1">
      <alignment horizontal="center"/>
      <protection hidden="1" locked="0"/>
    </xf>
    <xf numFmtId="2" fontId="1" fillId="6" borderId="35" xfId="0" applyNumberFormat="1" applyFont="1" applyFill="1" applyBorder="1" applyAlignment="1" applyProtection="1">
      <alignment horizontal="center"/>
      <protection hidden="1" locked="0"/>
    </xf>
    <xf numFmtId="2" fontId="1" fillId="6" borderId="20" xfId="0" applyNumberFormat="1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1" fillId="6" borderId="14" xfId="0" applyFont="1" applyFill="1" applyBorder="1" applyAlignment="1" applyProtection="1">
      <alignment horizontal="center" vertical="center"/>
      <protection hidden="1" locked="0"/>
    </xf>
    <xf numFmtId="0" fontId="1" fillId="6" borderId="11" xfId="0" applyFont="1" applyFill="1" applyBorder="1" applyAlignment="1" applyProtection="1">
      <alignment horizontal="center" vertical="center"/>
      <protection hidden="1" locked="0"/>
    </xf>
    <xf numFmtId="0" fontId="29" fillId="0" borderId="11" xfId="0" applyFont="1" applyBorder="1" applyProtection="1">
      <protection hidden="1" locked="0"/>
    </xf>
    <xf numFmtId="3" fontId="5" fillId="6" borderId="14" xfId="0" applyNumberFormat="1" applyFont="1" applyFill="1" applyBorder="1" applyAlignment="1" applyProtection="1">
      <alignment horizontal="center"/>
      <protection hidden="1" locked="0"/>
    </xf>
    <xf numFmtId="0" fontId="16" fillId="6" borderId="11" xfId="0" applyFont="1" applyFill="1" applyBorder="1" applyAlignment="1" applyProtection="1">
      <alignment horizontal="center" vertical="center"/>
      <protection hidden="1" locked="0"/>
    </xf>
    <xf numFmtId="0" fontId="16" fillId="6" borderId="18" xfId="0" applyFont="1" applyFill="1" applyBorder="1" applyAlignment="1" applyProtection="1">
      <alignment horizontal="center"/>
      <protection hidden="1" locked="0"/>
    </xf>
    <xf numFmtId="0" fontId="1" fillId="6" borderId="18" xfId="0" applyFont="1" applyFill="1" applyBorder="1" applyAlignment="1" applyProtection="1">
      <alignment horizontal="center"/>
      <protection hidden="1" locked="0"/>
    </xf>
    <xf numFmtId="3" fontId="5" fillId="6" borderId="18" xfId="0" applyNumberFormat="1" applyFont="1" applyFill="1" applyBorder="1" applyAlignment="1" applyProtection="1">
      <alignment horizontal="center"/>
      <protection hidden="1" locked="0"/>
    </xf>
    <xf numFmtId="0" fontId="16" fillId="6" borderId="36" xfId="0" applyFont="1" applyFill="1" applyBorder="1" applyAlignment="1" applyProtection="1">
      <alignment horizontal="center"/>
      <protection hidden="1" locked="0"/>
    </xf>
    <xf numFmtId="0" fontId="16" fillId="6" borderId="1" xfId="0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3" fontId="5" fillId="6" borderId="1" xfId="0" applyNumberFormat="1" applyFont="1" applyFill="1" applyBorder="1" applyAlignment="1" applyProtection="1">
      <alignment horizontal="center"/>
      <protection hidden="1" locked="0"/>
    </xf>
    <xf numFmtId="0" fontId="16" fillId="6" borderId="37" xfId="0" applyFont="1" applyFill="1" applyBorder="1" applyAlignment="1" applyProtection="1">
      <alignment horizontal="center"/>
      <protection hidden="1" locked="0"/>
    </xf>
    <xf numFmtId="0" fontId="16" fillId="6" borderId="2" xfId="0" applyFont="1" applyFill="1" applyBorder="1" applyAlignment="1" applyProtection="1">
      <alignment horizontal="center"/>
      <protection hidden="1" locked="0"/>
    </xf>
    <xf numFmtId="0" fontId="1" fillId="6" borderId="2" xfId="0" applyFont="1" applyFill="1" applyBorder="1" applyAlignment="1" applyProtection="1">
      <alignment horizontal="center"/>
      <protection hidden="1" locked="0"/>
    </xf>
    <xf numFmtId="3" fontId="5" fillId="6" borderId="38" xfId="0" applyNumberFormat="1" applyFont="1" applyFill="1" applyBorder="1" applyAlignment="1" applyProtection="1">
      <alignment horizontal="center"/>
      <protection hidden="1" locked="0"/>
    </xf>
    <xf numFmtId="0" fontId="16" fillId="6" borderId="39" xfId="0" applyFont="1" applyFill="1" applyBorder="1" applyAlignment="1" applyProtection="1">
      <alignment horizontal="center"/>
      <protection hidden="1" locked="0"/>
    </xf>
    <xf numFmtId="0" fontId="16" fillId="6" borderId="17" xfId="0" applyFont="1" applyFill="1" applyBorder="1" applyAlignment="1" applyProtection="1">
      <alignment horizontal="center"/>
      <protection hidden="1" locked="0"/>
    </xf>
    <xf numFmtId="0" fontId="1" fillId="6" borderId="17" xfId="0" applyFont="1" applyFill="1" applyBorder="1" applyAlignment="1" applyProtection="1">
      <alignment horizontal="center"/>
      <protection hidden="1" locked="0"/>
    </xf>
    <xf numFmtId="0" fontId="16" fillId="6" borderId="40" xfId="0" applyFont="1" applyFill="1" applyBorder="1" applyAlignment="1" applyProtection="1">
      <alignment horizontal="center"/>
      <protection hidden="1" locked="0"/>
    </xf>
    <xf numFmtId="0" fontId="16" fillId="6" borderId="1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3" fontId="5" fillId="6" borderId="19" xfId="0" applyNumberFormat="1" applyFont="1" applyFill="1" applyBorder="1" applyAlignment="1" applyProtection="1">
      <alignment horizontal="center"/>
      <protection hidden="1" locked="0"/>
    </xf>
    <xf numFmtId="49" fontId="1" fillId="0" borderId="18" xfId="0" applyNumberFormat="1" applyFont="1" applyFill="1" applyBorder="1" applyAlignment="1" applyProtection="1" quotePrefix="1">
      <alignment horizontal="center"/>
      <protection hidden="1" locked="0"/>
    </xf>
    <xf numFmtId="49" fontId="1" fillId="0" borderId="17" xfId="0" applyNumberFormat="1" applyFont="1" applyFill="1" applyBorder="1" applyAlignment="1" applyProtection="1" quotePrefix="1">
      <alignment horizontal="center"/>
      <protection hidden="1" locked="0"/>
    </xf>
    <xf numFmtId="49" fontId="1" fillId="0" borderId="21" xfId="0" applyNumberFormat="1" applyFont="1" applyFill="1" applyBorder="1" applyAlignment="1" applyProtection="1" quotePrefix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 locked="0"/>
    </xf>
    <xf numFmtId="49" fontId="29" fillId="6" borderId="8" xfId="0" applyNumberFormat="1" applyFont="1" applyFill="1" applyBorder="1" applyProtection="1">
      <protection hidden="1"/>
    </xf>
    <xf numFmtId="0" fontId="31" fillId="6" borderId="22" xfId="0" applyFont="1" applyFill="1" applyBorder="1" applyAlignment="1" applyProtection="1">
      <alignment horizontal="right" vertical="center"/>
      <protection hidden="1"/>
    </xf>
    <xf numFmtId="0" fontId="6" fillId="6" borderId="11" xfId="0" applyFont="1" applyFill="1" applyBorder="1" applyAlignment="1" applyProtection="1">
      <alignment horizontal="right"/>
      <protection hidden="1" locked="0"/>
    </xf>
    <xf numFmtId="0" fontId="5" fillId="6" borderId="9" xfId="0" applyFont="1" applyFill="1" applyBorder="1" applyAlignment="1" applyProtection="1">
      <alignment horizontal="right" vertical="center"/>
      <protection hidden="1"/>
    </xf>
    <xf numFmtId="0" fontId="9" fillId="6" borderId="5" xfId="0" applyFont="1" applyFill="1" applyBorder="1" applyAlignment="1" applyProtection="1">
      <alignment horizontal="center"/>
      <protection hidden="1" locked="0"/>
    </xf>
    <xf numFmtId="0" fontId="16" fillId="6" borderId="41" xfId="0" applyFont="1" applyFill="1" applyBorder="1" applyAlignment="1" applyProtection="1">
      <alignment horizontal="center"/>
      <protection hidden="1"/>
    </xf>
    <xf numFmtId="2" fontId="1" fillId="6" borderId="42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NumberFormat="1" applyProtection="1"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2" fontId="2" fillId="4" borderId="4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2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6" borderId="0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5" xfId="0" applyNumberFormat="1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5" fillId="6" borderId="6" xfId="0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2" fontId="5" fillId="6" borderId="13" xfId="0" applyNumberFormat="1" applyFont="1" applyFill="1" applyBorder="1" applyAlignment="1" applyProtection="1">
      <alignment horizontal="center"/>
      <protection hidden="1"/>
    </xf>
    <xf numFmtId="2" fontId="1" fillId="6" borderId="13" xfId="0" applyNumberFormat="1" applyFont="1" applyFill="1" applyBorder="1" applyAlignment="1" applyProtection="1">
      <alignment horizontal="center"/>
      <protection hidden="1"/>
    </xf>
    <xf numFmtId="0" fontId="1" fillId="6" borderId="22" xfId="0" applyFont="1" applyFill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/>
      <protection hidden="1" locked="0"/>
    </xf>
    <xf numFmtId="0" fontId="34" fillId="6" borderId="0" xfId="0" applyFont="1" applyFill="1" applyBorder="1" applyAlignment="1" applyProtection="1">
      <alignment/>
      <protection hidden="1"/>
    </xf>
    <xf numFmtId="0" fontId="0" fillId="0" borderId="1" xfId="0" applyBorder="1" applyProtection="1"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 hidden="1" locked="0"/>
    </xf>
    <xf numFmtId="15" fontId="5" fillId="6" borderId="7" xfId="0" applyNumberFormat="1" applyFont="1" applyFill="1" applyBorder="1" applyAlignment="1" applyProtection="1">
      <alignment horizontal="center"/>
      <protection hidden="1" locked="0"/>
    </xf>
    <xf numFmtId="15" fontId="5" fillId="6" borderId="8" xfId="0" applyNumberFormat="1" applyFont="1" applyFill="1" applyBorder="1" applyAlignment="1" applyProtection="1">
      <alignment horizontal="center"/>
      <protection hidden="1" locked="0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5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 locked="0"/>
    </xf>
    <xf numFmtId="0" fontId="1" fillId="6" borderId="5" xfId="0" applyFont="1" applyFill="1" applyBorder="1" applyAlignment="1" applyProtection="1">
      <alignment horizontal="center" vertical="center"/>
      <protection hidden="1" locked="0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 locked="0"/>
    </xf>
    <xf numFmtId="0" fontId="1" fillId="6" borderId="3" xfId="0" applyFont="1" applyFill="1" applyBorder="1" applyAlignment="1" applyProtection="1">
      <alignment horizontal="center"/>
      <protection hidden="1" locked="0"/>
    </xf>
    <xf numFmtId="0" fontId="1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Font="1" applyFill="1" applyBorder="1" applyAlignment="1" applyProtection="1">
      <alignment horizontal="center"/>
      <protection hidden="1" locked="0"/>
    </xf>
    <xf numFmtId="0" fontId="29" fillId="6" borderId="5" xfId="0" applyFont="1" applyFill="1" applyBorder="1" applyAlignment="1" applyProtection="1">
      <alignment horizontal="center"/>
      <protection hidden="1" locked="0"/>
    </xf>
    <xf numFmtId="0" fontId="29" fillId="6" borderId="3" xfId="0" applyNumberFormat="1" applyFont="1" applyFill="1" applyBorder="1" applyAlignment="1" applyProtection="1">
      <alignment horizontal="center"/>
      <protection hidden="1" locked="0"/>
    </xf>
    <xf numFmtId="0" fontId="29" fillId="6" borderId="4" xfId="0" applyNumberFormat="1" applyFont="1" applyFill="1" applyBorder="1" applyAlignment="1" applyProtection="1">
      <alignment horizontal="center"/>
      <protection hidden="1" locked="0"/>
    </xf>
    <xf numFmtId="0" fontId="29" fillId="6" borderId="5" xfId="0" applyNumberFormat="1" applyFont="1" applyFill="1" applyBorder="1" applyAlignment="1" applyProtection="1">
      <alignment horizontal="center"/>
      <protection hidden="1" locked="0"/>
    </xf>
    <xf numFmtId="49" fontId="0" fillId="6" borderId="3" xfId="0" applyNumberFormat="1" applyFill="1" applyBorder="1" applyAlignment="1" applyProtection="1">
      <alignment horizontal="center"/>
      <protection hidden="1"/>
    </xf>
    <xf numFmtId="49" fontId="0" fillId="6" borderId="5" xfId="0" applyNumberFormat="1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27" fillId="6" borderId="3" xfId="0" applyFont="1" applyFill="1" applyBorder="1" applyAlignment="1" applyProtection="1">
      <alignment horizontal="center" vertical="center" wrapText="1"/>
      <protection hidden="1"/>
    </xf>
    <xf numFmtId="0" fontId="27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9" fillId="6" borderId="8" xfId="0" applyFont="1" applyFill="1" applyBorder="1" applyAlignment="1" applyProtection="1">
      <alignment horizontal="center"/>
      <protection hidden="1" locked="0"/>
    </xf>
    <xf numFmtId="0" fontId="29" fillId="6" borderId="9" xfId="0" applyFont="1" applyFill="1" applyBorder="1" applyAlignment="1" applyProtection="1">
      <alignment horizontal="center"/>
      <protection hidden="1" locked="0"/>
    </xf>
    <xf numFmtId="2" fontId="18" fillId="6" borderId="14" xfId="0" applyNumberFormat="1" applyFont="1" applyFill="1" applyBorder="1" applyAlignment="1" applyProtection="1">
      <alignment horizontal="center"/>
      <protection hidden="1" locked="0"/>
    </xf>
    <xf numFmtId="2" fontId="18" fillId="6" borderId="15" xfId="0" applyNumberFormat="1" applyFont="1" applyFill="1" applyBorder="1" applyAlignment="1" applyProtection="1">
      <alignment horizontal="center"/>
      <protection hidden="1" locked="0"/>
    </xf>
    <xf numFmtId="0" fontId="1" fillId="6" borderId="6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20" fillId="6" borderId="4" xfId="0" applyFont="1" applyFill="1" applyBorder="1" applyAlignment="1" applyProtection="1">
      <alignment horizontal="center"/>
      <protection hidden="1"/>
    </xf>
    <xf numFmtId="0" fontId="1" fillId="6" borderId="43" xfId="0" applyFont="1" applyFill="1" applyBorder="1" applyAlignment="1" applyProtection="1">
      <alignment horizontal="center"/>
      <protection hidden="1" locked="0"/>
    </xf>
    <xf numFmtId="0" fontId="1" fillId="6" borderId="38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/>
      <protection hidden="1"/>
    </xf>
    <xf numFmtId="0" fontId="5" fillId="6" borderId="22" xfId="0" applyFont="1" applyFill="1" applyBorder="1" applyAlignment="1" applyProtection="1">
      <alignment horizontal="center"/>
      <protection hidden="1"/>
    </xf>
    <xf numFmtId="3" fontId="5" fillId="6" borderId="47" xfId="0" applyNumberFormat="1" applyFont="1" applyFill="1" applyBorder="1" applyAlignment="1" applyProtection="1">
      <alignment horizontal="center"/>
      <protection hidden="1" locked="0"/>
    </xf>
    <xf numFmtId="3" fontId="5" fillId="6" borderId="48" xfId="0" applyNumberFormat="1" applyFont="1" applyFill="1" applyBorder="1" applyAlignment="1" applyProtection="1">
      <alignment horizontal="center"/>
      <protection hidden="1" locked="0"/>
    </xf>
    <xf numFmtId="0" fontId="1" fillId="6" borderId="1" xfId="0" applyFont="1" applyFill="1" applyBorder="1" applyAlignment="1" applyProtection="1">
      <alignment horizontal="center"/>
      <protection hidden="1" locked="0"/>
    </xf>
    <xf numFmtId="0" fontId="1" fillId="0" borderId="3" xfId="0" applyFont="1" applyFill="1" applyBorder="1" applyAlignment="1" applyProtection="1">
      <alignment horizontal="left" vertical="center"/>
      <protection hidden="1" locked="0"/>
    </xf>
    <xf numFmtId="0" fontId="1" fillId="0" borderId="4" xfId="0" applyFont="1" applyFill="1" applyBorder="1" applyAlignment="1" applyProtection="1">
      <alignment horizontal="left" vertical="center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15" fontId="5" fillId="6" borderId="3" xfId="0" applyNumberFormat="1" applyFont="1" applyFill="1" applyBorder="1" applyAlignment="1" applyProtection="1">
      <alignment horizontal="center"/>
      <protection hidden="1" locked="0"/>
    </xf>
    <xf numFmtId="15" fontId="5" fillId="6" borderId="4" xfId="0" applyNumberFormat="1" applyFont="1" applyFill="1" applyBorder="1" applyAlignment="1" applyProtection="1">
      <alignment horizontal="center"/>
      <protection hidden="1" locked="0"/>
    </xf>
    <xf numFmtId="15" fontId="5" fillId="6" borderId="5" xfId="0" applyNumberFormat="1" applyFont="1" applyFill="1" applyBorder="1" applyAlignment="1" applyProtection="1">
      <alignment horizontal="center"/>
      <protection hidden="1" locked="0"/>
    </xf>
    <xf numFmtId="0" fontId="5" fillId="6" borderId="7" xfId="0" applyFont="1" applyFill="1" applyBorder="1" applyAlignment="1" applyProtection="1">
      <alignment horizontal="center"/>
      <protection hidden="1"/>
    </xf>
    <xf numFmtId="0" fontId="5" fillId="6" borderId="9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 locked="0"/>
    </xf>
    <xf numFmtId="49" fontId="0" fillId="6" borderId="3" xfId="0" applyNumberFormat="1" applyFont="1" applyFill="1" applyBorder="1" applyAlignment="1" applyProtection="1">
      <alignment horizontal="center"/>
      <protection hidden="1"/>
    </xf>
    <xf numFmtId="49" fontId="0" fillId="6" borderId="5" xfId="0" applyNumberFormat="1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 horizontal="center"/>
      <protection hidden="1" locked="0"/>
    </xf>
    <xf numFmtId="0" fontId="1" fillId="6" borderId="49" xfId="0" applyFont="1" applyFill="1" applyBorder="1" applyAlignment="1" applyProtection="1">
      <alignment horizontal="center"/>
      <protection hidden="1" locked="0"/>
    </xf>
    <xf numFmtId="0" fontId="1" fillId="6" borderId="50" xfId="0" applyFont="1" applyFill="1" applyBorder="1" applyAlignment="1" applyProtection="1">
      <alignment horizontal="center"/>
      <protection hidden="1" locked="0"/>
    </xf>
    <xf numFmtId="0" fontId="18" fillId="6" borderId="6" xfId="0" applyFont="1" applyFill="1" applyBorder="1" applyAlignment="1" applyProtection="1">
      <alignment horizontal="left" vertical="center"/>
      <protection hidden="1" locked="0"/>
    </xf>
    <xf numFmtId="0" fontId="18" fillId="6" borderId="22" xfId="0" applyFont="1" applyFill="1" applyBorder="1" applyAlignment="1" applyProtection="1">
      <alignment horizontal="left" vertical="center"/>
      <protection hidden="1" locked="0"/>
    </xf>
    <xf numFmtId="0" fontId="0" fillId="6" borderId="8" xfId="0" applyFill="1" applyBorder="1" applyAlignment="1" applyProtection="1">
      <alignment horizontal="left" vertical="center"/>
      <protection hidden="1" locked="0"/>
    </xf>
    <xf numFmtId="0" fontId="0" fillId="6" borderId="9" xfId="0" applyFill="1" applyBorder="1" applyAlignment="1" applyProtection="1">
      <alignment horizontal="left" vertical="center"/>
      <protection hidden="1" locked="0"/>
    </xf>
    <xf numFmtId="0" fontId="20" fillId="6" borderId="4" xfId="0" applyFont="1" applyFill="1" applyBorder="1" applyAlignment="1" applyProtection="1">
      <alignment horizontal="center" vertical="center"/>
      <protection hidden="1"/>
    </xf>
    <xf numFmtId="0" fontId="30" fillId="0" borderId="3" xfId="0" applyFont="1" applyFill="1" applyBorder="1" applyAlignment="1" applyProtection="1">
      <alignment horizontal="left" vertical="center"/>
      <protection hidden="1" locked="0"/>
    </xf>
    <xf numFmtId="0" fontId="30" fillId="0" borderId="4" xfId="0" applyFont="1" applyFill="1" applyBorder="1" applyAlignment="1" applyProtection="1">
      <alignment horizontal="left" vertical="center"/>
      <protection hidden="1" locked="0"/>
    </xf>
    <xf numFmtId="0" fontId="26" fillId="6" borderId="7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6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49" fontId="29" fillId="6" borderId="3" xfId="0" applyNumberFormat="1" applyFont="1" applyFill="1" applyBorder="1" applyAlignment="1" applyProtection="1">
      <alignment horizontal="center"/>
      <protection hidden="1" locked="0"/>
    </xf>
    <xf numFmtId="49" fontId="29" fillId="6" borderId="4" xfId="0" applyNumberFormat="1" applyFont="1" applyFill="1" applyBorder="1" applyAlignment="1" applyProtection="1">
      <alignment horizontal="center"/>
      <protection hidden="1" locked="0"/>
    </xf>
    <xf numFmtId="49" fontId="29" fillId="6" borderId="5" xfId="0" applyNumberFormat="1" applyFont="1" applyFill="1" applyBorder="1" applyAlignment="1" applyProtection="1">
      <alignment horizontal="center"/>
      <protection hidden="1" locked="0"/>
    </xf>
    <xf numFmtId="2" fontId="1" fillId="6" borderId="14" xfId="0" applyNumberFormat="1" applyFont="1" applyFill="1" applyBorder="1" applyAlignment="1" applyProtection="1">
      <alignment horizontal="center"/>
      <protection hidden="1" locked="0"/>
    </xf>
    <xf numFmtId="2" fontId="1" fillId="6" borderId="15" xfId="0" applyNumberFormat="1" applyFont="1" applyFill="1" applyBorder="1" applyAlignment="1" applyProtection="1">
      <alignment horizontal="center"/>
      <protection hidden="1" locked="0"/>
    </xf>
    <xf numFmtId="15" fontId="5" fillId="6" borderId="9" xfId="0" applyNumberFormat="1" applyFont="1" applyFill="1" applyBorder="1" applyAlignment="1" applyProtection="1">
      <alignment horizontal="center"/>
      <protection hidden="1" locked="0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4" xfId="0" applyFont="1" applyFill="1" applyBorder="1" applyAlignment="1" applyProtection="1">
      <alignment horizontal="center" vertical="center"/>
      <protection hidden="1"/>
    </xf>
    <xf numFmtId="0" fontId="27" fillId="6" borderId="5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  <dxf>
      <font>
        <color rgb="FF9C0006"/>
      </font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rgb="FF9C0006"/>
      </font>
      <fill>
        <patternFill>
          <bgColor theme="4" tint="0.7999799847602844"/>
        </patternFill>
      </fill>
      <border/>
    </dxf>
    <dxf>
      <font>
        <color indexed="9"/>
        <condense val="0"/>
        <extend val="0"/>
      </font>
      <border/>
    </dxf>
    <dxf>
      <fill>
        <patternFill>
          <bgColor indexed="46"/>
        </patternFill>
      </fill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285875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0195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390525</xdr:colOff>
      <xdr:row>58</xdr:row>
      <xdr:rowOff>0</xdr:rowOff>
    </xdr:from>
    <xdr:ext cx="1781175" cy="1038225"/>
    <xdr:pic>
      <xdr:nvPicPr>
        <xdr:cNvPr id="20" name="Imagen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148715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228600</xdr:colOff>
      <xdr:row>8</xdr:row>
      <xdr:rowOff>76200</xdr:rowOff>
    </xdr:from>
    <xdr:to>
      <xdr:col>12</xdr:col>
      <xdr:colOff>476250</xdr:colOff>
      <xdr:row>8</xdr:row>
      <xdr:rowOff>152400</xdr:rowOff>
    </xdr:to>
    <xdr:sp macro="" textlink="">
      <xdr:nvSpPr>
        <xdr:cNvPr id="75" name="AutoShape 25"/>
        <xdr:cNvSpPr>
          <a:spLocks noChangeArrowheads="1"/>
        </xdr:cNvSpPr>
      </xdr:nvSpPr>
      <xdr:spPr bwMode="auto">
        <a:xfrm>
          <a:off x="8315325" y="17430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10</xdr:row>
      <xdr:rowOff>76200</xdr:rowOff>
    </xdr:from>
    <xdr:to>
      <xdr:col>12</xdr:col>
      <xdr:colOff>476250</xdr:colOff>
      <xdr:row>10</xdr:row>
      <xdr:rowOff>152400</xdr:rowOff>
    </xdr:to>
    <xdr:sp macro="" textlink="">
      <xdr:nvSpPr>
        <xdr:cNvPr id="76" name="AutoShape 25"/>
        <xdr:cNvSpPr>
          <a:spLocks noChangeArrowheads="1"/>
        </xdr:cNvSpPr>
      </xdr:nvSpPr>
      <xdr:spPr bwMode="auto">
        <a:xfrm>
          <a:off x="8315325" y="21526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276225</xdr:colOff>
      <xdr:row>7</xdr:row>
      <xdr:rowOff>76200</xdr:rowOff>
    </xdr:from>
    <xdr:to>
      <xdr:col>12</xdr:col>
      <xdr:colOff>523875</xdr:colOff>
      <xdr:row>7</xdr:row>
      <xdr:rowOff>152400</xdr:rowOff>
    </xdr:to>
    <xdr:sp macro="" textlink="">
      <xdr:nvSpPr>
        <xdr:cNvPr id="77" name="AutoShape 25"/>
        <xdr:cNvSpPr>
          <a:spLocks noChangeArrowheads="1"/>
        </xdr:cNvSpPr>
      </xdr:nvSpPr>
      <xdr:spPr bwMode="auto">
        <a:xfrm>
          <a:off x="8362950" y="1543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17</xdr:row>
      <xdr:rowOff>76200</xdr:rowOff>
    </xdr:from>
    <xdr:to>
      <xdr:col>12</xdr:col>
      <xdr:colOff>628650</xdr:colOff>
      <xdr:row>17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8467725" y="3829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285875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85875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95250</xdr:rowOff>
    </xdr:from>
    <xdr:to>
      <xdr:col>12</xdr:col>
      <xdr:colOff>476250</xdr:colOff>
      <xdr:row>9</xdr:row>
      <xdr:rowOff>171450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620000" y="1962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17</xdr:row>
      <xdr:rowOff>66675</xdr:rowOff>
    </xdr:from>
    <xdr:to>
      <xdr:col>12</xdr:col>
      <xdr:colOff>561975</xdr:colOff>
      <xdr:row>17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705725" y="38195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3</xdr:col>
      <xdr:colOff>409575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400050</xdr:colOff>
      <xdr:row>11</xdr:row>
      <xdr:rowOff>76200</xdr:rowOff>
    </xdr:from>
    <xdr:to>
      <xdr:col>12</xdr:col>
      <xdr:colOff>647700</xdr:colOff>
      <xdr:row>11</xdr:row>
      <xdr:rowOff>152400</xdr:rowOff>
    </xdr:to>
    <xdr:sp macro="" textlink="">
      <xdr:nvSpPr>
        <xdr:cNvPr id="108" name="AutoShape 25"/>
        <xdr:cNvSpPr>
          <a:spLocks noChangeArrowheads="1"/>
        </xdr:cNvSpPr>
      </xdr:nvSpPr>
      <xdr:spPr bwMode="auto">
        <a:xfrm>
          <a:off x="7791450" y="23526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333375</xdr:colOff>
      <xdr:row>11</xdr:row>
      <xdr:rowOff>133350</xdr:rowOff>
    </xdr:to>
    <xdr:sp macro="" textlink="">
      <xdr:nvSpPr>
        <xdr:cNvPr id="109" name="AutoShape 21"/>
        <xdr:cNvSpPr>
          <a:spLocks noChangeArrowheads="1"/>
        </xdr:cNvSpPr>
      </xdr:nvSpPr>
      <xdr:spPr bwMode="auto">
        <a:xfrm>
          <a:off x="1285875" y="23336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314325</xdr:colOff>
      <xdr:row>18</xdr:row>
      <xdr:rowOff>85725</xdr:rowOff>
    </xdr:from>
    <xdr:to>
      <xdr:col>12</xdr:col>
      <xdr:colOff>561975</xdr:colOff>
      <xdr:row>18</xdr:row>
      <xdr:rowOff>161925</xdr:rowOff>
    </xdr:to>
    <xdr:sp macro="" textlink="">
      <xdr:nvSpPr>
        <xdr:cNvPr id="33" name="AutoShape 25"/>
        <xdr:cNvSpPr>
          <a:spLocks noChangeArrowheads="1"/>
        </xdr:cNvSpPr>
      </xdr:nvSpPr>
      <xdr:spPr bwMode="auto">
        <a:xfrm>
          <a:off x="7705725" y="40386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47625</xdr:rowOff>
    </xdr:from>
    <xdr:to>
      <xdr:col>2</xdr:col>
      <xdr:colOff>333375</xdr:colOff>
      <xdr:row>11</xdr:row>
      <xdr:rowOff>123825</xdr:rowOff>
    </xdr:to>
    <xdr:sp macro="" textlink="">
      <xdr:nvSpPr>
        <xdr:cNvPr id="2" name="AutoShape 20"/>
        <xdr:cNvSpPr>
          <a:spLocks noChangeArrowheads="1"/>
        </xdr:cNvSpPr>
      </xdr:nvSpPr>
      <xdr:spPr bwMode="auto">
        <a:xfrm>
          <a:off x="1143000" y="23241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12</xdr:row>
      <xdr:rowOff>47625</xdr:rowOff>
    </xdr:from>
    <xdr:to>
      <xdr:col>2</xdr:col>
      <xdr:colOff>333375</xdr:colOff>
      <xdr:row>12</xdr:row>
      <xdr:rowOff>123825</xdr:rowOff>
    </xdr:to>
    <xdr:sp macro="" textlink="">
      <xdr:nvSpPr>
        <xdr:cNvPr id="3" name="AutoShape 21"/>
        <xdr:cNvSpPr>
          <a:spLocks noChangeArrowheads="1"/>
        </xdr:cNvSpPr>
      </xdr:nvSpPr>
      <xdr:spPr bwMode="auto">
        <a:xfrm>
          <a:off x="1143000" y="252412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85725</xdr:colOff>
      <xdr:row>13</xdr:row>
      <xdr:rowOff>47625</xdr:rowOff>
    </xdr:from>
    <xdr:to>
      <xdr:col>2</xdr:col>
      <xdr:colOff>333375</xdr:colOff>
      <xdr:row>13</xdr:row>
      <xdr:rowOff>123825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143000" y="2724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152525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133475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7353300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133475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19</xdr:row>
      <xdr:rowOff>66675</xdr:rowOff>
    </xdr:from>
    <xdr:to>
      <xdr:col>12</xdr:col>
      <xdr:colOff>647700</xdr:colOff>
      <xdr:row>19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7524750" y="42100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3</xdr:col>
      <xdr:colOff>314325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66675</xdr:rowOff>
    </xdr:from>
    <xdr:to>
      <xdr:col>2</xdr:col>
      <xdr:colOff>314325</xdr:colOff>
      <xdr:row>11</xdr:row>
      <xdr:rowOff>142875</xdr:rowOff>
    </xdr:to>
    <xdr:sp macro="" textlink="">
      <xdr:nvSpPr>
        <xdr:cNvPr id="4" name="AutoShape 22"/>
        <xdr:cNvSpPr>
          <a:spLocks noChangeArrowheads="1"/>
        </xdr:cNvSpPr>
      </xdr:nvSpPr>
      <xdr:spPr bwMode="auto">
        <a:xfrm>
          <a:off x="1266825" y="23431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95250</xdr:colOff>
      <xdr:row>7</xdr:row>
      <xdr:rowOff>28575</xdr:rowOff>
    </xdr:from>
    <xdr:to>
      <xdr:col>2</xdr:col>
      <xdr:colOff>323850</xdr:colOff>
      <xdr:row>7</xdr:row>
      <xdr:rowOff>142875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295400" y="1495425"/>
          <a:ext cx="228600" cy="114300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323850</xdr:colOff>
      <xdr:row>9</xdr:row>
      <xdr:rowOff>142875</xdr:rowOff>
    </xdr:to>
    <xdr:sp macro="" textlink="">
      <xdr:nvSpPr>
        <xdr:cNvPr id="6" name="AutoShape 24"/>
        <xdr:cNvSpPr>
          <a:spLocks noChangeArrowheads="1"/>
        </xdr:cNvSpPr>
      </xdr:nvSpPr>
      <xdr:spPr bwMode="auto">
        <a:xfrm>
          <a:off x="1276350" y="1933575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228600</xdr:colOff>
      <xdr:row>9</xdr:row>
      <xdr:rowOff>38100</xdr:rowOff>
    </xdr:from>
    <xdr:to>
      <xdr:col>12</xdr:col>
      <xdr:colOff>476250</xdr:colOff>
      <xdr:row>9</xdr:row>
      <xdr:rowOff>114300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8315325" y="190500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76200</xdr:colOff>
      <xdr:row>5</xdr:row>
      <xdr:rowOff>47625</xdr:rowOff>
    </xdr:from>
    <xdr:to>
      <xdr:col>2</xdr:col>
      <xdr:colOff>361950</xdr:colOff>
      <xdr:row>5</xdr:row>
      <xdr:rowOff>152400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276350" y="1114425"/>
          <a:ext cx="285750" cy="104775"/>
        </a:xfrm>
        <a:custGeom>
          <a:avLst/>
          <a:gdLst>
            <a:gd name="T0" fmla="*/ 3811841 w 21600"/>
            <a:gd name="T1" fmla="*/ 0 h 21600"/>
            <a:gd name="T2" fmla="*/ 0 w 21600"/>
            <a:gd name="T3" fmla="*/ 474162 h 21600"/>
            <a:gd name="T4" fmla="*/ 3811841 w 21600"/>
            <a:gd name="T5" fmla="*/ 948327 h 21600"/>
            <a:gd name="T6" fmla="*/ 5082432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12</xdr:col>
      <xdr:colOff>400050</xdr:colOff>
      <xdr:row>18</xdr:row>
      <xdr:rowOff>66675</xdr:rowOff>
    </xdr:from>
    <xdr:to>
      <xdr:col>12</xdr:col>
      <xdr:colOff>647700</xdr:colOff>
      <xdr:row>18</xdr:row>
      <xdr:rowOff>142875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8486775" y="4133850"/>
          <a:ext cx="247650" cy="76200"/>
        </a:xfrm>
        <a:custGeom>
          <a:avLst/>
          <a:gdLst>
            <a:gd name="T0" fmla="*/ 24415745 w 21600"/>
            <a:gd name="T1" fmla="*/ 0 h 21600"/>
            <a:gd name="T2" fmla="*/ 0 w 21600"/>
            <a:gd name="T3" fmla="*/ 474162 h 21600"/>
            <a:gd name="T4" fmla="*/ 24415745 w 21600"/>
            <a:gd name="T5" fmla="*/ 948327 h 21600"/>
            <a:gd name="T6" fmla="*/ 32554235 w 21600"/>
            <a:gd name="T7" fmla="*/ 47416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247650</xdr:colOff>
      <xdr:row>4</xdr:row>
      <xdr:rowOff>180975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0"/>
          <a:ext cx="17811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 topLeftCell="A7">
      <selection activeCell="O18" sqref="O18"/>
    </sheetView>
  </sheetViews>
  <sheetFormatPr defaultColWidth="11.421875" defaultRowHeight="15"/>
  <cols>
    <col min="3" max="3" width="11.421875" style="0" hidden="1" customWidth="1"/>
    <col min="4" max="4" width="15.28125" style="0" customWidth="1"/>
    <col min="5" max="5" width="20.00390625" style="0" customWidth="1"/>
    <col min="9" max="9" width="13.8515625" style="0" hidden="1" customWidth="1"/>
    <col min="10" max="10" width="17.421875" style="0" customWidth="1"/>
    <col min="11" max="11" width="14.28125" style="0" customWidth="1"/>
  </cols>
  <sheetData>
    <row r="1" ht="15.75" thickBot="1"/>
    <row r="2" spans="1:11" ht="15.75" thickBot="1">
      <c r="A2" s="225" t="s">
        <v>155</v>
      </c>
      <c r="B2" s="226"/>
      <c r="C2" s="226"/>
      <c r="D2" s="226"/>
      <c r="E2" s="227"/>
      <c r="G2" s="225" t="s">
        <v>156</v>
      </c>
      <c r="H2" s="226"/>
      <c r="I2" s="226"/>
      <c r="J2" s="226"/>
      <c r="K2" s="227"/>
    </row>
    <row r="3" spans="1:11" ht="15" customHeight="1" thickBot="1">
      <c r="A3" s="111" t="s">
        <v>10</v>
      </c>
      <c r="B3" s="110" t="s">
        <v>5</v>
      </c>
      <c r="C3" s="110" t="s">
        <v>4</v>
      </c>
      <c r="D3" s="110" t="s">
        <v>101</v>
      </c>
      <c r="E3" s="112" t="s">
        <v>100</v>
      </c>
      <c r="G3" s="111" t="s">
        <v>10</v>
      </c>
      <c r="H3" s="110" t="s">
        <v>5</v>
      </c>
      <c r="I3" s="110" t="s">
        <v>4</v>
      </c>
      <c r="J3" s="110" t="s">
        <v>144</v>
      </c>
      <c r="K3" s="112" t="s">
        <v>143</v>
      </c>
    </row>
    <row r="4" spans="1:11" ht="15">
      <c r="A4" s="228" t="s">
        <v>6</v>
      </c>
      <c r="B4" s="96">
        <v>4</v>
      </c>
      <c r="C4" s="96">
        <v>4</v>
      </c>
      <c r="D4" s="97">
        <v>312</v>
      </c>
      <c r="E4" s="98">
        <v>185</v>
      </c>
      <c r="G4" s="228" t="s">
        <v>6</v>
      </c>
      <c r="H4" s="96">
        <v>4</v>
      </c>
      <c r="I4" s="96">
        <v>4</v>
      </c>
      <c r="J4" s="97">
        <v>1059</v>
      </c>
      <c r="K4" s="98">
        <v>176</v>
      </c>
    </row>
    <row r="5" spans="1:11" ht="15">
      <c r="A5" s="229"/>
      <c r="B5" s="99">
        <v>2</v>
      </c>
      <c r="C5" s="99">
        <v>4</v>
      </c>
      <c r="D5" s="100">
        <v>469</v>
      </c>
      <c r="E5" s="101">
        <v>279</v>
      </c>
      <c r="G5" s="229"/>
      <c r="H5" s="99">
        <v>2</v>
      </c>
      <c r="I5" s="99">
        <v>4</v>
      </c>
      <c r="J5" s="100">
        <v>1580</v>
      </c>
      <c r="K5" s="101">
        <v>203</v>
      </c>
    </row>
    <row r="6" spans="1:11" ht="15">
      <c r="A6" s="229"/>
      <c r="B6" s="99" t="s">
        <v>0</v>
      </c>
      <c r="C6" s="99">
        <v>4</v>
      </c>
      <c r="D6" s="100">
        <v>692</v>
      </c>
      <c r="E6" s="101">
        <v>412</v>
      </c>
      <c r="G6" s="229"/>
      <c r="H6" s="99" t="s">
        <v>0</v>
      </c>
      <c r="I6" s="99">
        <v>4</v>
      </c>
      <c r="J6" s="100">
        <v>2292</v>
      </c>
      <c r="K6" s="101">
        <v>382</v>
      </c>
    </row>
    <row r="7" spans="1:11" ht="15">
      <c r="A7" s="229"/>
      <c r="B7" s="99" t="s">
        <v>1</v>
      </c>
      <c r="C7" s="99">
        <v>2</v>
      </c>
      <c r="D7" s="100">
        <v>831</v>
      </c>
      <c r="E7" s="101">
        <v>495</v>
      </c>
      <c r="G7" s="229"/>
      <c r="H7" s="99" t="s">
        <v>1</v>
      </c>
      <c r="I7" s="99">
        <v>2</v>
      </c>
      <c r="J7" s="100">
        <v>2724</v>
      </c>
      <c r="K7" s="101">
        <v>454</v>
      </c>
    </row>
    <row r="8" spans="1:11" ht="15">
      <c r="A8" s="229"/>
      <c r="B8" s="99" t="s">
        <v>2</v>
      </c>
      <c r="C8" s="99">
        <v>2</v>
      </c>
      <c r="D8" s="100">
        <v>982</v>
      </c>
      <c r="E8" s="101">
        <v>584</v>
      </c>
      <c r="G8" s="229"/>
      <c r="H8" s="99" t="s">
        <v>2</v>
      </c>
      <c r="I8" s="99">
        <v>2</v>
      </c>
      <c r="J8" s="100">
        <v>3207</v>
      </c>
      <c r="K8" s="101">
        <v>534</v>
      </c>
    </row>
    <row r="9" spans="1:11" ht="15.75" thickBot="1">
      <c r="A9" s="230"/>
      <c r="B9" s="102" t="s">
        <v>3</v>
      </c>
      <c r="C9" s="102" t="s">
        <v>0</v>
      </c>
      <c r="D9" s="103">
        <v>1159</v>
      </c>
      <c r="E9" s="104">
        <v>690</v>
      </c>
      <c r="G9" s="230"/>
      <c r="H9" s="102" t="s">
        <v>3</v>
      </c>
      <c r="I9" s="102" t="s">
        <v>0</v>
      </c>
      <c r="J9" s="103">
        <v>3735</v>
      </c>
      <c r="K9" s="104">
        <v>622</v>
      </c>
    </row>
    <row r="10" spans="1:11" ht="15">
      <c r="A10" s="228" t="s">
        <v>7</v>
      </c>
      <c r="B10" s="96">
        <v>4</v>
      </c>
      <c r="C10" s="96">
        <v>4</v>
      </c>
      <c r="D10" s="97">
        <v>276</v>
      </c>
      <c r="E10" s="98">
        <v>164</v>
      </c>
      <c r="G10" s="228" t="s">
        <v>7</v>
      </c>
      <c r="H10" s="96">
        <v>4</v>
      </c>
      <c r="I10" s="96">
        <v>4</v>
      </c>
      <c r="J10" s="97">
        <v>1041</v>
      </c>
      <c r="K10" s="98">
        <v>174</v>
      </c>
    </row>
    <row r="11" spans="1:11" ht="15">
      <c r="A11" s="229"/>
      <c r="B11" s="99">
        <v>2</v>
      </c>
      <c r="C11" s="99">
        <v>4</v>
      </c>
      <c r="D11" s="100">
        <v>419</v>
      </c>
      <c r="E11" s="101">
        <v>249</v>
      </c>
      <c r="G11" s="229"/>
      <c r="H11" s="99">
        <v>2</v>
      </c>
      <c r="I11" s="99">
        <v>4</v>
      </c>
      <c r="J11" s="100">
        <v>1542</v>
      </c>
      <c r="K11" s="101">
        <v>257</v>
      </c>
    </row>
    <row r="12" spans="1:11" ht="15">
      <c r="A12" s="229"/>
      <c r="B12" s="99" t="s">
        <v>0</v>
      </c>
      <c r="C12" s="99">
        <v>4</v>
      </c>
      <c r="D12" s="100">
        <v>622</v>
      </c>
      <c r="E12" s="101">
        <v>370</v>
      </c>
      <c r="G12" s="229"/>
      <c r="H12" s="99" t="s">
        <v>0</v>
      </c>
      <c r="I12" s="99">
        <v>4</v>
      </c>
      <c r="J12" s="100">
        <v>2259</v>
      </c>
      <c r="K12" s="101">
        <v>377</v>
      </c>
    </row>
    <row r="13" spans="1:11" ht="15">
      <c r="A13" s="229"/>
      <c r="B13" s="99" t="s">
        <v>1</v>
      </c>
      <c r="C13" s="99">
        <v>2</v>
      </c>
      <c r="D13" s="100">
        <v>746</v>
      </c>
      <c r="E13" s="101">
        <v>444</v>
      </c>
      <c r="G13" s="229"/>
      <c r="H13" s="99" t="s">
        <v>1</v>
      </c>
      <c r="I13" s="99">
        <v>2</v>
      </c>
      <c r="J13" s="100">
        <v>2690</v>
      </c>
      <c r="K13" s="101">
        <v>448</v>
      </c>
    </row>
    <row r="14" spans="1:11" ht="15">
      <c r="A14" s="229"/>
      <c r="B14" s="99" t="s">
        <v>2</v>
      </c>
      <c r="C14" s="99">
        <v>2</v>
      </c>
      <c r="D14" s="100">
        <v>887</v>
      </c>
      <c r="E14" s="101">
        <v>528</v>
      </c>
      <c r="G14" s="229"/>
      <c r="H14" s="99" t="s">
        <v>2</v>
      </c>
      <c r="I14" s="99">
        <v>2</v>
      </c>
      <c r="J14" s="100">
        <v>3170</v>
      </c>
      <c r="K14" s="101">
        <v>528</v>
      </c>
    </row>
    <row r="15" spans="1:13" ht="15.75" thickBot="1">
      <c r="A15" s="230"/>
      <c r="B15" s="102" t="s">
        <v>3</v>
      </c>
      <c r="C15" s="102" t="s">
        <v>0</v>
      </c>
      <c r="D15" s="103">
        <v>1049</v>
      </c>
      <c r="E15" s="104">
        <v>625</v>
      </c>
      <c r="G15" s="230"/>
      <c r="H15" s="102" t="s">
        <v>3</v>
      </c>
      <c r="I15" s="102" t="s">
        <v>0</v>
      </c>
      <c r="J15" s="103">
        <v>3669</v>
      </c>
      <c r="K15" s="104">
        <v>617</v>
      </c>
      <c r="M15" s="86"/>
    </row>
    <row r="16" spans="1:13" ht="15">
      <c r="A16" s="228" t="s">
        <v>8</v>
      </c>
      <c r="B16" s="105">
        <v>8</v>
      </c>
      <c r="C16" s="106">
        <v>8</v>
      </c>
      <c r="D16" s="97">
        <v>209</v>
      </c>
      <c r="E16" s="98">
        <v>124</v>
      </c>
      <c r="G16" s="228" t="s">
        <v>8</v>
      </c>
      <c r="H16" s="105"/>
      <c r="I16" s="106"/>
      <c r="J16" s="97"/>
      <c r="K16" s="98"/>
      <c r="M16" s="86"/>
    </row>
    <row r="17" spans="1:13" ht="15">
      <c r="A17" s="229"/>
      <c r="B17" s="107">
        <v>6</v>
      </c>
      <c r="C17" s="108">
        <v>8</v>
      </c>
      <c r="D17" s="100">
        <v>319</v>
      </c>
      <c r="E17" s="101">
        <v>190</v>
      </c>
      <c r="G17" s="229"/>
      <c r="H17" s="107"/>
      <c r="I17" s="108"/>
      <c r="J17" s="100"/>
      <c r="K17" s="101"/>
      <c r="M17" s="86"/>
    </row>
    <row r="18" spans="1:13" ht="15">
      <c r="A18" s="229"/>
      <c r="B18" s="107">
        <v>6</v>
      </c>
      <c r="C18" s="108">
        <v>6</v>
      </c>
      <c r="D18" s="100">
        <v>319</v>
      </c>
      <c r="E18" s="101">
        <v>190</v>
      </c>
      <c r="G18" s="229"/>
      <c r="H18" s="107"/>
      <c r="I18" s="108"/>
      <c r="J18" s="100"/>
      <c r="K18" s="101"/>
      <c r="M18" s="86"/>
    </row>
    <row r="19" spans="1:13" ht="15">
      <c r="A19" s="229"/>
      <c r="B19" s="107">
        <v>4</v>
      </c>
      <c r="C19" s="108">
        <v>4</v>
      </c>
      <c r="D19" s="100">
        <v>474</v>
      </c>
      <c r="E19" s="101">
        <v>282</v>
      </c>
      <c r="G19" s="229"/>
      <c r="H19" s="107">
        <v>4</v>
      </c>
      <c r="I19" s="108">
        <v>4</v>
      </c>
      <c r="J19" s="100">
        <v>1963</v>
      </c>
      <c r="K19" s="101">
        <v>327</v>
      </c>
      <c r="M19" s="86"/>
    </row>
    <row r="20" spans="1:13" ht="15">
      <c r="A20" s="229"/>
      <c r="B20" s="107">
        <v>2</v>
      </c>
      <c r="C20" s="108">
        <v>4</v>
      </c>
      <c r="D20" s="100">
        <v>688</v>
      </c>
      <c r="E20" s="101">
        <v>401</v>
      </c>
      <c r="G20" s="229"/>
      <c r="H20" s="107">
        <v>2</v>
      </c>
      <c r="I20" s="108">
        <v>4</v>
      </c>
      <c r="J20" s="100">
        <v>2915</v>
      </c>
      <c r="K20" s="101">
        <v>486</v>
      </c>
      <c r="M20" s="86"/>
    </row>
    <row r="21" spans="1:13" ht="15">
      <c r="A21" s="229"/>
      <c r="B21" s="107" t="s">
        <v>0</v>
      </c>
      <c r="C21" s="108">
        <v>4</v>
      </c>
      <c r="D21" s="100">
        <v>975</v>
      </c>
      <c r="E21" s="101">
        <v>580</v>
      </c>
      <c r="G21" s="229"/>
      <c r="H21" s="107" t="s">
        <v>0</v>
      </c>
      <c r="I21" s="108">
        <v>4</v>
      </c>
      <c r="J21" s="100">
        <v>4152</v>
      </c>
      <c r="K21" s="101">
        <v>692</v>
      </c>
      <c r="M21" s="86"/>
    </row>
    <row r="22" spans="1:13" ht="15">
      <c r="A22" s="229"/>
      <c r="B22" s="107" t="s">
        <v>1</v>
      </c>
      <c r="C22" s="108">
        <v>2</v>
      </c>
      <c r="D22" s="100">
        <v>1146</v>
      </c>
      <c r="E22" s="101">
        <v>682</v>
      </c>
      <c r="G22" s="229"/>
      <c r="H22" s="107" t="s">
        <v>1</v>
      </c>
      <c r="I22" s="108">
        <v>2</v>
      </c>
      <c r="J22" s="100">
        <v>4934</v>
      </c>
      <c r="K22" s="101">
        <v>822</v>
      </c>
      <c r="M22" s="86"/>
    </row>
    <row r="23" spans="1:13" ht="15">
      <c r="A23" s="229"/>
      <c r="B23" s="107" t="s">
        <v>2</v>
      </c>
      <c r="C23" s="108">
        <v>2</v>
      </c>
      <c r="D23" s="100">
        <v>1335</v>
      </c>
      <c r="E23" s="101">
        <v>795</v>
      </c>
      <c r="G23" s="229"/>
      <c r="H23" s="107" t="s">
        <v>2</v>
      </c>
      <c r="I23" s="108">
        <v>2</v>
      </c>
      <c r="J23" s="100">
        <v>5786</v>
      </c>
      <c r="K23" s="101">
        <v>964</v>
      </c>
      <c r="M23" s="86"/>
    </row>
    <row r="24" spans="1:11" ht="15.75" thickBot="1">
      <c r="A24" s="230"/>
      <c r="B24" s="109" t="s">
        <v>3</v>
      </c>
      <c r="C24" s="102" t="s">
        <v>0</v>
      </c>
      <c r="D24" s="103">
        <v>1539</v>
      </c>
      <c r="E24" s="104">
        <v>910</v>
      </c>
      <c r="G24" s="230"/>
      <c r="H24" s="109" t="s">
        <v>3</v>
      </c>
      <c r="I24" s="102" t="s">
        <v>0</v>
      </c>
      <c r="J24" s="103">
        <v>6759</v>
      </c>
      <c r="K24" s="104">
        <v>1127</v>
      </c>
    </row>
    <row r="25" spans="1:11" ht="15">
      <c r="A25" s="228" t="s">
        <v>9</v>
      </c>
      <c r="B25" s="96">
        <v>4</v>
      </c>
      <c r="C25" s="96">
        <v>4</v>
      </c>
      <c r="D25" s="97">
        <v>298</v>
      </c>
      <c r="E25" s="98">
        <v>177</v>
      </c>
      <c r="G25" s="228" t="s">
        <v>9</v>
      </c>
      <c r="H25" s="96">
        <v>4</v>
      </c>
      <c r="I25" s="96">
        <v>4</v>
      </c>
      <c r="J25" s="97">
        <v>1176</v>
      </c>
      <c r="K25" s="98">
        <v>196</v>
      </c>
    </row>
    <row r="26" spans="1:11" ht="15">
      <c r="A26" s="229"/>
      <c r="B26" s="99">
        <v>2</v>
      </c>
      <c r="C26" s="99">
        <v>4</v>
      </c>
      <c r="D26" s="100">
        <v>427</v>
      </c>
      <c r="E26" s="101">
        <v>254</v>
      </c>
      <c r="G26" s="229"/>
      <c r="H26" s="99">
        <v>2</v>
      </c>
      <c r="I26" s="99">
        <v>4</v>
      </c>
      <c r="J26" s="100">
        <v>1720</v>
      </c>
      <c r="K26" s="101">
        <v>287</v>
      </c>
    </row>
    <row r="27" spans="1:11" ht="15">
      <c r="A27" s="229"/>
      <c r="B27" s="99" t="s">
        <v>0</v>
      </c>
      <c r="C27" s="99">
        <v>4</v>
      </c>
      <c r="D27" s="100">
        <v>595</v>
      </c>
      <c r="E27" s="101">
        <v>351</v>
      </c>
      <c r="G27" s="229"/>
      <c r="H27" s="99" t="s">
        <v>0</v>
      </c>
      <c r="I27" s="99">
        <v>4</v>
      </c>
      <c r="J27" s="100">
        <v>2407</v>
      </c>
      <c r="K27" s="101">
        <v>401</v>
      </c>
    </row>
    <row r="28" spans="1:11" ht="15">
      <c r="A28" s="229"/>
      <c r="B28" s="99" t="s">
        <v>1</v>
      </c>
      <c r="C28" s="99">
        <v>2</v>
      </c>
      <c r="D28" s="100">
        <v>708</v>
      </c>
      <c r="E28" s="101">
        <v>420</v>
      </c>
      <c r="G28" s="229"/>
      <c r="H28" s="99" t="s">
        <v>1</v>
      </c>
      <c r="I28" s="99">
        <v>2</v>
      </c>
      <c r="J28" s="100">
        <v>2820</v>
      </c>
      <c r="K28" s="101">
        <v>470</v>
      </c>
    </row>
    <row r="29" spans="1:11" ht="15">
      <c r="A29" s="229"/>
      <c r="B29" s="99" t="s">
        <v>2</v>
      </c>
      <c r="C29" s="99">
        <v>2</v>
      </c>
      <c r="D29" s="100">
        <v>833</v>
      </c>
      <c r="E29" s="101">
        <v>495</v>
      </c>
      <c r="G29" s="229"/>
      <c r="H29" s="99" t="s">
        <v>2</v>
      </c>
      <c r="I29" s="99">
        <v>2</v>
      </c>
      <c r="J29" s="100">
        <v>3042</v>
      </c>
      <c r="K29" s="101">
        <v>507</v>
      </c>
    </row>
    <row r="30" spans="1:11" ht="15.75" thickBot="1">
      <c r="A30" s="230"/>
      <c r="B30" s="102" t="s">
        <v>3</v>
      </c>
      <c r="C30" s="102" t="s">
        <v>0</v>
      </c>
      <c r="D30" s="103">
        <v>972</v>
      </c>
      <c r="E30" s="104">
        <v>570</v>
      </c>
      <c r="G30" s="230"/>
      <c r="H30" s="102" t="s">
        <v>3</v>
      </c>
      <c r="I30" s="102" t="s">
        <v>0</v>
      </c>
      <c r="J30" s="103">
        <v>3833</v>
      </c>
      <c r="K30" s="104">
        <v>639</v>
      </c>
    </row>
  </sheetData>
  <sheetProtection algorithmName="SHA-512" hashValue="vFG1/HHCTuyhtojMtczLEQ6JJAGKimIs8XF16kcC4BuwmjgSa0C6kWqj+V5D0fTqrcwvVKulECxSok1H/jScWQ==" saltValue="52uQy9w5sYBgfajlgMXHug==" spinCount="100000" sheet="1" objects="1" scenarios="1"/>
  <mergeCells count="10">
    <mergeCell ref="A25:A30"/>
    <mergeCell ref="A2:E2"/>
    <mergeCell ref="A4:A9"/>
    <mergeCell ref="A10:A15"/>
    <mergeCell ref="A16:A24"/>
    <mergeCell ref="G2:K2"/>
    <mergeCell ref="G4:G9"/>
    <mergeCell ref="G10:G15"/>
    <mergeCell ref="G16:G24"/>
    <mergeCell ref="G25:G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zoomScale="85" zoomScaleNormal="85" workbookViewId="0" topLeftCell="A1">
      <selection activeCell="AH20" sqref="AH20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5.28125" style="138" hidden="1" customWidth="1"/>
    <col min="17" max="17" width="11.8515625" style="138" hidden="1" customWidth="1"/>
    <col min="18" max="18" width="15.28125" style="138" hidden="1" customWidth="1"/>
    <col min="19" max="19" width="14.8515625" style="138" hidden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61" t="s">
        <v>169</v>
      </c>
    </row>
    <row r="2" spans="1:14" ht="18">
      <c r="A2" s="235" t="s">
        <v>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8">
      <c r="A3" s="133"/>
      <c r="B3" s="133"/>
      <c r="C3" s="133"/>
      <c r="D3" s="133"/>
      <c r="E3" s="133"/>
      <c r="F3" s="22" t="s">
        <v>172</v>
      </c>
      <c r="G3" s="133"/>
      <c r="H3" s="133"/>
      <c r="I3" s="133"/>
      <c r="J3" s="133"/>
      <c r="K3" s="133"/>
      <c r="L3" s="133"/>
      <c r="M3" s="133"/>
      <c r="N3" s="87"/>
    </row>
    <row r="4" spans="1:31" ht="15.75">
      <c r="A4" s="236" t="s">
        <v>111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133</v>
      </c>
      <c r="AE4" s="138" t="s">
        <v>139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134</v>
      </c>
      <c r="AE5" s="138">
        <v>0.65</v>
      </c>
    </row>
    <row r="6" spans="1:31" ht="15.75" thickBot="1">
      <c r="A6" s="25" t="s">
        <v>23</v>
      </c>
      <c r="B6" s="26"/>
      <c r="C6" s="88"/>
      <c r="D6" s="248" t="s">
        <v>67</v>
      </c>
      <c r="E6" s="248"/>
      <c r="F6" s="256" t="s">
        <v>92</v>
      </c>
      <c r="G6" s="257"/>
      <c r="H6" s="253" t="s">
        <v>166</v>
      </c>
      <c r="I6" s="254"/>
      <c r="J6" s="255"/>
      <c r="K6" s="258" t="s">
        <v>81</v>
      </c>
      <c r="L6" s="259"/>
      <c r="M6" s="251" t="s">
        <v>171</v>
      </c>
      <c r="N6" s="252"/>
      <c r="Q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135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136</v>
      </c>
      <c r="AE7" s="138">
        <v>0.8</v>
      </c>
    </row>
    <row r="8" spans="1:31" ht="15.75" thickBot="1">
      <c r="A8" s="25" t="s">
        <v>24</v>
      </c>
      <c r="B8" s="26"/>
      <c r="C8" s="26"/>
      <c r="D8" s="249" t="s">
        <v>68</v>
      </c>
      <c r="E8" s="248"/>
      <c r="F8" s="250"/>
      <c r="G8" s="26"/>
      <c r="H8" s="29"/>
      <c r="I8" s="233"/>
      <c r="J8" s="234"/>
      <c r="K8" s="26"/>
      <c r="L8" s="26" t="s">
        <v>137</v>
      </c>
      <c r="M8" s="26"/>
      <c r="N8" s="207" t="s">
        <v>134</v>
      </c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 t="s">
        <v>141</v>
      </c>
      <c r="L9" s="204"/>
      <c r="M9" s="23"/>
      <c r="N9" s="43" t="str">
        <f>IF(N10="","",IF(N10="3F","220 / 127 V","240 / 120 V"))</f>
        <v>240 / 120 V</v>
      </c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3" t="s">
        <v>70</v>
      </c>
      <c r="E10" s="244"/>
      <c r="F10" s="18"/>
      <c r="G10" s="18"/>
      <c r="H10" s="18"/>
      <c r="I10" s="18"/>
      <c r="J10" s="18"/>
      <c r="K10" s="23"/>
      <c r="L10" s="18" t="s">
        <v>142</v>
      </c>
      <c r="M10" s="18"/>
      <c r="N10" s="151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 t="s">
        <v>138</v>
      </c>
      <c r="L11" s="35"/>
      <c r="M11" s="18"/>
      <c r="N11" s="205">
        <v>1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71</v>
      </c>
      <c r="B12" s="37"/>
      <c r="C12" s="37"/>
      <c r="D12" s="150" t="s">
        <v>75</v>
      </c>
      <c r="E12" s="38"/>
      <c r="F12" s="39"/>
      <c r="G12" s="39"/>
      <c r="H12" s="39"/>
      <c r="I12" s="39"/>
      <c r="J12" s="37"/>
      <c r="K12" s="36"/>
      <c r="L12" s="37"/>
      <c r="M12" s="89" t="s">
        <v>30</v>
      </c>
      <c r="N12" s="190" t="s">
        <v>127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</v>
      </c>
      <c r="E13" s="21"/>
      <c r="F13" s="28"/>
      <c r="G13" s="42" t="s">
        <v>32</v>
      </c>
      <c r="H13" s="237" t="s">
        <v>165</v>
      </c>
      <c r="I13" s="238"/>
      <c r="J13" s="238"/>
      <c r="K13" s="41"/>
      <c r="L13" s="21"/>
      <c r="M13" s="115" t="s">
        <v>93</v>
      </c>
      <c r="N13" s="206">
        <f>+N14/N11</f>
        <v>2.76525785487124</v>
      </c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220</v>
      </c>
      <c r="E14" s="41"/>
      <c r="F14" s="28"/>
      <c r="G14" s="42" t="s">
        <v>35</v>
      </c>
      <c r="H14" s="239">
        <v>43598</v>
      </c>
      <c r="I14" s="240"/>
      <c r="J14" s="240"/>
      <c r="K14" s="41"/>
      <c r="L14" s="21"/>
      <c r="M14" s="115" t="s">
        <v>140</v>
      </c>
      <c r="N14" s="116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>2.76525785487124</v>
      </c>
      <c r="P14" s="220" t="s">
        <v>164</v>
      </c>
      <c r="Q14" s="221" t="e">
        <f>+D13+#REF!+#REF!+#REF!+#REF!+#REF!+#REF!+#REF!</f>
        <v>#REF!</v>
      </c>
      <c r="R14" s="231" t="s">
        <v>162</v>
      </c>
      <c r="S14" s="231"/>
      <c r="T14" s="231"/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0" t="str">
        <f>+IF(OR(N8="INDUSTRIAL"),"NOTA: Estratos:  A1 (Consumo-Alto); A (Consumo-Medio); B(Consumo-Bajo); C(Consumo-Mínimo)",IF(N8="","","NOTA: Estratos:  A1 (Casco Urbano-Sector hotelero);A (Barrios Centricos); B(Zona Periferica); C(Zona Rural)"))</f>
        <v>NOTA: Estratos:  A1 (Casco Urbano-Sector hotelero);A (Barrios Centricos); B(Zona Periferica); C(Zona Rural)</v>
      </c>
      <c r="B15" s="261"/>
      <c r="C15" s="261"/>
      <c r="D15" s="261"/>
      <c r="E15" s="261"/>
      <c r="F15" s="261"/>
      <c r="G15" s="261"/>
      <c r="H15" s="261"/>
      <c r="I15" s="261"/>
      <c r="J15" s="261"/>
      <c r="K15" s="44"/>
      <c r="L15" s="34"/>
      <c r="M15" s="130" t="str">
        <f>+IF(OR(N10="",D12="",D13=""),"","POT. NOMINAL TRAFO. (KVA):")</f>
        <v>POT. NOMINAL TRAFO. (KVA):</v>
      </c>
      <c r="N15" s="117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>10</v>
      </c>
      <c r="P15" s="220" t="s">
        <v>163</v>
      </c>
      <c r="Q15" s="221" t="e">
        <f>+D14+#REF!+#REF!+#REF!+#REF!+#REF!+#REF!+#REF!</f>
        <v>#REF!</v>
      </c>
      <c r="R15" s="232" t="s">
        <v>160</v>
      </c>
      <c r="S15" s="223" t="s">
        <v>158</v>
      </c>
      <c r="T15" s="222">
        <v>6</v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Q16" s="138" t="e">
        <f>+Q15/110</f>
        <v>#REF!</v>
      </c>
      <c r="R16" s="232"/>
      <c r="S16" s="223" t="s">
        <v>159</v>
      </c>
      <c r="T16" s="222">
        <v>4.5</v>
      </c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R17" s="232" t="s">
        <v>161</v>
      </c>
      <c r="S17" s="223" t="s">
        <v>158</v>
      </c>
      <c r="T17" s="222">
        <v>6</v>
      </c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 t="s">
        <v>157</v>
      </c>
      <c r="M18" s="21"/>
      <c r="N18" s="163"/>
      <c r="R18" s="232"/>
      <c r="S18" s="223" t="s">
        <v>159</v>
      </c>
      <c r="T18" s="222">
        <v>4.5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63" t="s">
        <v>167</v>
      </c>
      <c r="R19" s="139"/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7" t="s">
        <v>38</v>
      </c>
      <c r="B21" s="242"/>
      <c r="C21" s="52" t="s">
        <v>39</v>
      </c>
      <c r="D21" s="52" t="s">
        <v>40</v>
      </c>
      <c r="E21" s="53" t="s">
        <v>41</v>
      </c>
      <c r="F21" s="53" t="s">
        <v>42</v>
      </c>
      <c r="G21" s="247" t="s">
        <v>43</v>
      </c>
      <c r="H21" s="241"/>
      <c r="I21" s="241"/>
      <c r="J21" s="242"/>
      <c r="K21" s="245" t="s">
        <v>44</v>
      </c>
      <c r="L21" s="241" t="s">
        <v>45</v>
      </c>
      <c r="M21" s="241"/>
      <c r="N21" s="242"/>
      <c r="P21" s="138" t="s">
        <v>43</v>
      </c>
      <c r="Q21" s="224" t="e">
        <f>+H52+#REF!+#REF!+#REF!+#REF!+#REF!+#REF!+#REF!</f>
        <v>#REF!</v>
      </c>
      <c r="R21" s="224"/>
      <c r="S21" s="224" t="e">
        <f>+J52+#REF!+#REF!+#REF!+#REF!+#REF!+#REF!+#REF!</f>
        <v>#REF!</v>
      </c>
      <c r="T21" s="224" t="e">
        <f>+Q21+S21</f>
        <v>#REF!</v>
      </c>
      <c r="U21" s="262" t="s">
        <v>98</v>
      </c>
      <c r="V21" s="262" t="s">
        <v>99</v>
      </c>
    </row>
    <row r="22" spans="1:22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6"/>
      <c r="L22" s="53" t="s">
        <v>54</v>
      </c>
      <c r="M22" s="43" t="s">
        <v>55</v>
      </c>
      <c r="N22" s="57" t="s">
        <v>56</v>
      </c>
      <c r="U22" s="262"/>
      <c r="V22" s="262"/>
    </row>
    <row r="23" spans="1:22" ht="15">
      <c r="A23" s="191" t="s">
        <v>167</v>
      </c>
      <c r="B23" s="164" t="s">
        <v>168</v>
      </c>
      <c r="C23" s="165">
        <v>72</v>
      </c>
      <c r="D23" s="165"/>
      <c r="E23" s="166">
        <v>220</v>
      </c>
      <c r="F23" s="192">
        <f>IF($N$8="","",IF($N$8="INDUSTRIAL",IF(OR($D$6="",$D$12=""),"",IF(OR(D23&gt;$D$13,E23&gt;$D$14),"Rev. Total. abona.",IF(D23="",IF(E23="","",E23/(0.9*1000)),IF(OR($D$6="SAN CRISTOBAL",$D$6="FLOREANA"),VLOOKUP(D23,'Estratos SCY - FLO'!$A$4:$M$108,IF($D$12="A1",2,IF($D$12="A",5,IF($D$12="B",8,11))))+E23/(0.92*1000),VLOOKUP(D23,'Estratos SCX - ISA'!$A$3:$M$107,IF($D$12="A1",2,IF($D$12="A",5,IF($D$12="B",8,11))))+E23/(0.92*1000))))),IF(OR($D$6="",$D$12=""),"",IF(OR(D23&gt;$D$13,E23&gt;$D$14),"Rev. Total. abona.",IF(D23="",IF(E23="","",E23/(0.92*1000)),IF(OR($D$6="SAN CRISTOBAL",$D$6="FLOREANA"),VLOOKUP(D23,'Estratos SCY - FLO'!$O$4:$S$108,IF($D$12="A1",2,IF($D$12="A",3,IF($D$12="B",4,5))))+E23/(0.92*1000),VLOOKUP(D23,'Estratos SCX - ISA'!$O$4:$S$108,IF($D$12="A1",2,IF($D$12="A",3,IF($D$12="B",4,5))))+E23/(0.92*1000)))))))</f>
        <v>0.2391304347826087</v>
      </c>
      <c r="G23" s="95">
        <f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IF(OR(H23="",$D$10="",$N$10=""),"",IF($D$10="COBRE",VLOOKUP(CDV_PROY_BT!H23,FDV!$B$16:$E$24,IF(CDV_PROY_BT!$N$10="3F",3,4),FALSE),IF($D$10="ACS",VLOOKUP(CDV_PROY_BT!H23,FDV!$B$10:$E$15,IF(CDV_PROY_BT!$N$10="3F",3,4),FALSE),IF($D$10="5005 (PREENSAMBLADO)",VLOOKUP(CDV_PROY_BT!H23,FDV!$B$4:$E$9,IF(CDV_PROY_BT!$N$10="3F",3,4),FALSE),VLOOKUP(CDV_PROY_BT!H23,FDV!$B$25:$E$30,IF(CDV_PROY_BT!$N$10="3F",3,4),FALSE)))))</f>
        <v>279</v>
      </c>
      <c r="K23" s="60">
        <f aca="true" t="shared" si="0" ref="K23:K50">IF(C23="","",ROUND(F23*C23,0))</f>
        <v>17</v>
      </c>
      <c r="L23" s="61">
        <f>IF($N$19="","",IF(C23="","",ROUND(K23/J23,2)))</f>
        <v>0.06</v>
      </c>
      <c r="M23" s="61">
        <f>IF(C23="","",VLOOKUP(A23,$B$23:$N$50,12,FALSE)+L23+N18)</f>
        <v>0.06</v>
      </c>
      <c r="N23" s="154"/>
      <c r="U23" s="138">
        <f>+IF(C23="",0,C23)</f>
        <v>72</v>
      </c>
      <c r="V23" s="138">
        <f>IF(OR(C23="",G23=""),0,C23*G23)</f>
        <v>72</v>
      </c>
    </row>
    <row r="24" spans="1:22" ht="15">
      <c r="A24" s="167" t="s">
        <v>168</v>
      </c>
      <c r="B24" s="168" t="s">
        <v>170</v>
      </c>
      <c r="C24" s="169">
        <v>71</v>
      </c>
      <c r="D24" s="169">
        <v>1</v>
      </c>
      <c r="E24" s="170">
        <v>110</v>
      </c>
      <c r="F24" s="62">
        <f>IF($N$8="","",IF($N$8="INDUSTRIAL",IF(OR($D$6="",$D$12=""),"",IF(OR(D24&gt;$D$13,E24&gt;$D$14),"Rev. Total. abona.",IF(D24="",IF(E24="","",E24/(0.9*1000)),IF(OR($D$6="SAN CRISTOBAL",$D$6="FLOREANA"),VLOOKUP(D24,'Estratos SCY - FLO'!$A$4:$M$108,IF($D$12="A1",2,IF($D$12="A",5,IF($D$12="B",8,11))))+E24/(0.92*1000),VLOOKUP(D24,'Estratos SCX - ISA'!$A$3:$M$107,IF($D$12="A1",2,IF($D$12="A",5,IF($D$12="B",8,11))))+E24/(0.92*1000))))),IF(OR($D$6="",$D$12=""),"",IF(OR(D24&gt;$D$13,E24&gt;$D$14),"Rev. Total. abona.",IF(D24="",IF(E24="","",E24/(0.92*1000)),IF(OR($D$6="SAN CRISTOBAL",$D$6="FLOREANA"),VLOOKUP(D24,'Estratos SCY - FLO'!$O$4:$S$108,IF($D$12="A1",2,IF($D$12="A",3,IF($D$12="B",4,5))))+E24/(0.92*1000),VLOOKUP(D24,'Estratos SCX - ISA'!$O$4:$S$108,IF($D$12="A1",2,IF($D$12="A",3,IF($D$12="B",4,5))))+E24/(0.92*1000)))))))</f>
        <v>2.6456926374799354</v>
      </c>
      <c r="G24" s="59">
        <f aca="true" t="shared" si="1" ref="G24:G50">IF(OR($N$10="",C24=""),"",IF($N$10="1F",1,3))</f>
        <v>1</v>
      </c>
      <c r="H24" s="183">
        <v>2</v>
      </c>
      <c r="I24" s="183">
        <v>2</v>
      </c>
      <c r="J24" s="59">
        <f>IF(OR(H24="",$D$10="",$N$10=""),"",IF($D$10="COBRE",VLOOKUP(CDV_PROY_BT!H24,FDV!$B$16:$E$24,IF(CDV_PROY_BT!$N$10="3F",3,4),FALSE),IF($D$10="ACS",VLOOKUP(CDV_PROY_BT!H24,FDV!$B$10:$E$15,IF(CDV_PROY_BT!$N$10="3F",3,4),FALSE),IF($D$10="5005 (PREENSAMBLADO)",VLOOKUP(CDV_PROY_BT!H24,FDV!$B$4:$E$9,IF(CDV_PROY_BT!$N$10="3F",3,4),FALSE),VLOOKUP(CDV_PROY_BT!H24,FDV!$B$25:$E$30,IF(CDV_PROY_BT!$N$10="3F",3,4),FALSE)))))</f>
        <v>279</v>
      </c>
      <c r="K24" s="63">
        <f t="shared" si="0"/>
        <v>188</v>
      </c>
      <c r="L24" s="62">
        <f aca="true" t="shared" si="2" ref="L24:L49">IF($N$19="","",IF(C24="","",ROUND(K24/J24,2)))</f>
        <v>0.67</v>
      </c>
      <c r="M24" s="62">
        <f aca="true" t="shared" si="3" ref="M24:M49">IF(C24="","",VLOOKUP(A24,$B$23:$N$50,12,FALSE)+L24)</f>
        <v>0.73</v>
      </c>
      <c r="N24" s="155">
        <f>+M24</f>
        <v>0.73</v>
      </c>
      <c r="U24" s="138">
        <f aca="true" t="shared" si="4" ref="U24:U49">+IF(C24="",0,C24)</f>
        <v>71</v>
      </c>
      <c r="V24" s="138">
        <f aca="true" t="shared" si="5" ref="V24:V49">IF(OR(C24="",G24=""),0,C24*G24)</f>
        <v>71</v>
      </c>
    </row>
    <row r="25" spans="1:22" ht="15">
      <c r="A25" s="167"/>
      <c r="B25" s="168"/>
      <c r="C25" s="169"/>
      <c r="D25" s="169"/>
      <c r="E25" s="170"/>
      <c r="F25" s="58" t="str">
        <f>IF($N$8="","",IF($N$8="INDUSTRIAL",IF(OR($D$6="",$D$12=""),"",IF(OR(D25&gt;$D$13,E25&gt;$D$14),"Rev. Total. abona.",IF(D25="",IF(E25="","",E25/(0.9*1000)),IF(OR($D$6="SAN CRISTOBAL",$D$6="FLOREANA"),VLOOKUP(D25,'Estratos SCY - FLO'!$A$4:$M$108,IF($D$12="A1",2,IF($D$12="A",5,IF($D$12="B",8,11))))+E25/(0.92*1000),VLOOKUP(D25,'Estratos SCX - ISA'!$A$3:$M$107,IF($D$12="A1",2,IF($D$12="A",5,IF($D$12="B",8,11))))+E25/(0.92*1000))))),IF(OR($D$6="",$D$12=""),"",IF(OR(D25&gt;$D$13,E25&gt;$D$14),"Rev. Total. abona.",IF(D25="",IF(E25="","",E25/(0.92*1000)),IF(OR($D$6="SAN CRISTOBAL",$D$6="FLOREANA"),VLOOKUP(D25,'Estratos SCY - FLO'!$O$4:$S$108,IF($D$12="A1",2,IF($D$12="A",3,IF($D$12="B",4,5))))+E25/(0.92*1000),VLOOKUP(D25,'Estratos SCX - ISA'!$O$4:$S$108,IF($D$12="A1",2,IF($D$12="A",3,IF($D$12="B",4,5))))+E25/(0.92*1000)))))))</f>
        <v/>
      </c>
      <c r="G25" s="59" t="str">
        <f t="shared" si="1"/>
        <v/>
      </c>
      <c r="H25" s="183"/>
      <c r="I25" s="183"/>
      <c r="J25" s="59" t="str">
        <f>IF(OR(H25="",$D$10="",$N$10=""),"",IF($D$10="COBRE",VLOOKUP(CDV_PROY_BT!H25,FDV!$B$16:$E$24,IF(CDV_PROY_BT!$N$10="3F",3,4),FALSE),IF($D$10="ACS",VLOOKUP(CDV_PROY_BT!H25,FDV!$B$10:$E$15,IF(CDV_PROY_BT!$N$10="3F",3,4),FALSE),IF($D$10="5005 (PREENSAMBLADO)",VLOOKUP(CDV_PROY_BT!H25,FDV!$B$4:$E$9,IF(CDV_PROY_BT!$N$10="3F",3,4),FALSE),VLOOKUP(CDV_PROY_BT!H25,FDV!$B$25:$E$30,IF(CDV_PROY_BT!$N$10="3F",3,4),FALSE)))))</f>
        <v/>
      </c>
      <c r="K25" s="63" t="str">
        <f t="shared" si="0"/>
        <v/>
      </c>
      <c r="L25" s="62" t="str">
        <f t="shared" si="2"/>
        <v/>
      </c>
      <c r="M25" s="62" t="str">
        <f t="shared" si="3"/>
        <v/>
      </c>
      <c r="N25" s="155" t="str">
        <f>+M25</f>
        <v/>
      </c>
      <c r="U25" s="138">
        <f t="shared" si="4"/>
        <v>0</v>
      </c>
      <c r="V25" s="138">
        <f t="shared" si="5"/>
        <v>0</v>
      </c>
    </row>
    <row r="26" spans="1:22" ht="15">
      <c r="A26" s="167"/>
      <c r="B26" s="168"/>
      <c r="C26" s="169"/>
      <c r="D26" s="169"/>
      <c r="E26" s="170"/>
      <c r="F26" s="58" t="str">
        <f>IF($N$8="","",IF($N$8="INDUSTRIAL",IF(OR($D$6="",$D$12=""),"",IF(OR(D26&gt;$D$13,E26&gt;$D$14),"Rev. Total. abona.",IF(D26="",IF(E26="","",E26/(0.9*1000)),IF(OR($D$6="SAN CRISTOBAL",$D$6="FLOREANA"),VLOOKUP(D26,'Estratos SCY - FLO'!$A$4:$M$108,IF($D$12="A1",2,IF($D$12="A",5,IF($D$12="B",8,11))))+E26/(0.92*1000),VLOOKUP(D26,'Estratos SCX - ISA'!$A$3:$M$107,IF($D$12="A1",2,IF($D$12="A",5,IF($D$12="B",8,11))))+E26/(0.92*1000))))),IF(OR($D$6="",$D$12=""),"",IF(OR(D26&gt;$D$13,E26&gt;$D$14),"Rev. Total. abona.",IF(D26="",IF(E26="","",E26/(0.92*1000)),IF(OR($D$6="SAN CRISTOBAL",$D$6="FLOREANA"),VLOOKUP(D26,'Estratos SCY - FLO'!$O$4:$S$108,IF($D$12="A1",2,IF($D$12="A",3,IF($D$12="B",4,5))))+E26/(0.92*1000),VLOOKUP(D26,'Estratos SCX - ISA'!$O$4:$S$108,IF($D$12="A1",2,IF($D$12="A",3,IF($D$12="B",4,5))))+E26/(0.92*1000)))))))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IF(OR(H26="",$D$10="",$N$10=""),"",IF($D$10="COBRE",VLOOKUP(CDV_PROY_BT!H26,FDV!$B$16:$E$24,IF(CDV_PROY_BT!$N$10="3F",3,4),FALSE),IF($D$10="ACS",VLOOKUP(CDV_PROY_BT!H26,FDV!$B$10:$E$15,IF(CDV_PROY_BT!$N$10="3F",3,4),FALSE),IF($D$10="5005 (PREENSAMBLADO)",VLOOKUP(CDV_PROY_BT!H26,FDV!$B$4:$E$9,IF(CDV_PROY_BT!$N$10="3F",3,4),FALSE),VLOOKUP(CDV_PROY_BT!H26,FDV!$B$25:$E$30,IF(CDV_PROY_BT!$N$10="3F",3,4),FALSE)))))</f>
        <v/>
      </c>
      <c r="K26" s="63" t="str">
        <f t="shared" si="0"/>
        <v/>
      </c>
      <c r="L26" s="62" t="str">
        <f t="shared" si="2"/>
        <v/>
      </c>
      <c r="M26" s="62" t="str">
        <f t="shared" si="3"/>
        <v/>
      </c>
      <c r="N26" s="155"/>
      <c r="U26" s="138">
        <f t="shared" si="4"/>
        <v>0</v>
      </c>
      <c r="V26" s="138">
        <f t="shared" si="5"/>
        <v>0</v>
      </c>
    </row>
    <row r="27" spans="1:22" ht="15">
      <c r="A27" s="167"/>
      <c r="B27" s="168"/>
      <c r="C27" s="169"/>
      <c r="D27" s="169"/>
      <c r="E27" s="170"/>
      <c r="F27" s="58" t="str">
        <f>IF($N$8="","",IF($N$8="INDUSTRIAL",IF(OR($D$6="",$D$12=""),"",IF(OR(D27&gt;$D$13,E27&gt;$D$14),"Rev. Total. abona.",IF(D27="",IF(E27="","",E27/(0.9*1000)),IF(OR($D$6="SAN CRISTOBAL",$D$6="FLOREANA"),VLOOKUP(D27,'Estratos SCY - FLO'!$A$4:$M$108,IF($D$12="A1",2,IF($D$12="A",5,IF($D$12="B",8,11))))+E27/(0.92*1000),VLOOKUP(D27,'Estratos SCX - ISA'!$A$3:$M$107,IF($D$12="A1",2,IF($D$12="A",5,IF($D$12="B",8,11))))+E27/(0.92*1000))))),IF(OR($D$6="",$D$12=""),"",IF(OR(D27&gt;$D$13,E27&gt;$D$14),"Rev. Total. abona.",IF(D27="",IF(E27="","",E27/(0.92*1000)),IF(OR($D$6="SAN CRISTOBAL",$D$6="FLOREANA"),VLOOKUP(D27,'Estratos SCY - FLO'!$O$4:$S$108,IF($D$12="A1",2,IF($D$12="A",3,IF($D$12="B",4,5))))+E27/(0.92*1000),VLOOKUP(D27,'Estratos SCX - ISA'!$O$4:$S$108,IF($D$12="A1",2,IF($D$12="A",3,IF($D$12="B",4,5))))+E27/(0.92*1000)))))))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IF(OR(H27="",$D$10="",$N$10=""),"",IF($D$10="COBRE",VLOOKUP(CDV_PROY_BT!H27,FDV!$B$16:$E$24,IF(CDV_PROY_BT!$N$10="3F",3,4),FALSE),IF($D$10="ACS",VLOOKUP(CDV_PROY_BT!H27,FDV!$B$10:$E$15,IF(CDV_PROY_BT!$N$10="3F",3,4),FALSE),IF($D$10="5005 (PREENSAMBLADO)",VLOOKUP(CDV_PROY_BT!H27,FDV!$B$4:$E$9,IF(CDV_PROY_BT!$N$10="3F",3,4),FALSE),VLOOKUP(CDV_PROY_BT!H27,FDV!$B$25:$E$30,IF(CDV_PROY_BT!$N$10="3F",3,4),FALSE)))))</f>
        <v/>
      </c>
      <c r="K27" s="63" t="str">
        <f t="shared" si="0"/>
        <v/>
      </c>
      <c r="L27" s="62" t="str">
        <f t="shared" si="2"/>
        <v/>
      </c>
      <c r="M27" s="62" t="str">
        <f t="shared" si="3"/>
        <v/>
      </c>
      <c r="N27" s="155"/>
      <c r="U27" s="138">
        <f t="shared" si="4"/>
        <v>0</v>
      </c>
      <c r="V27" s="138">
        <f t="shared" si="5"/>
        <v>0</v>
      </c>
    </row>
    <row r="28" spans="1:22" ht="15">
      <c r="A28" s="167"/>
      <c r="B28" s="168"/>
      <c r="C28" s="169"/>
      <c r="D28" s="169"/>
      <c r="E28" s="170"/>
      <c r="F28" s="58" t="str">
        <f>IF($N$8="","",IF($N$8="INDUSTRIAL",IF(OR($D$6="",$D$12=""),"",IF(OR(D28&gt;$D$13,E28&gt;$D$14),"Rev. Total. abona.",IF(D28="",IF(E28="","",E28/(0.9*1000)),IF(OR($D$6="SAN CRISTOBAL",$D$6="FLOREANA"),VLOOKUP(D28,'Estratos SCY - FLO'!$A$4:$M$108,IF($D$12="A1",2,IF($D$12="A",5,IF($D$12="B",8,11))))+E28/(0.92*1000),VLOOKUP(D28,'Estratos SCX - ISA'!$A$3:$M$107,IF($D$12="A1",2,IF($D$12="A",5,IF($D$12="B",8,11))))+E28/(0.92*1000))))),IF(OR($D$6="",$D$12=""),"",IF(OR(D28&gt;$D$13,E28&gt;$D$14),"Rev. Total. abona.",IF(D28="",IF(E28="","",E28/(0.92*1000)),IF(OR($D$6="SAN CRISTOBAL",$D$6="FLOREANA"),VLOOKUP(D28,'Estratos SCY - FLO'!$O$4:$S$108,IF($D$12="A1",2,IF($D$12="A",3,IF($D$12="B",4,5))))+E28/(0.92*1000),VLOOKUP(D28,'Estratos SCX - ISA'!$O$4:$S$108,IF($D$12="A1",2,IF($D$12="A",3,IF($D$12="B",4,5))))+E28/(0.92*1000)))))))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IF(OR(H28="",$D$10="",$N$10=""),"",IF($D$10="COBRE",VLOOKUP(CDV_PROY_BT!H28,FDV!$B$16:$E$24,IF(CDV_PROY_BT!$N$10="3F",3,4),FALSE),IF($D$10="ACS",VLOOKUP(CDV_PROY_BT!H28,FDV!$B$10:$E$15,IF(CDV_PROY_BT!$N$10="3F",3,4),FALSE),IF($D$10="5005 (PREENSAMBLADO)",VLOOKUP(CDV_PROY_BT!H28,FDV!$B$4:$E$9,IF(CDV_PROY_BT!$N$10="3F",3,4),FALSE),VLOOKUP(CDV_PROY_BT!H28,FDV!$B$25:$E$30,IF(CDV_PROY_BT!$N$10="3F",3,4),FALSE)))))</f>
        <v/>
      </c>
      <c r="K28" s="63" t="str">
        <f t="shared" si="0"/>
        <v/>
      </c>
      <c r="L28" s="62" t="str">
        <f t="shared" si="2"/>
        <v/>
      </c>
      <c r="M28" s="62" t="str">
        <f t="shared" si="3"/>
        <v/>
      </c>
      <c r="N28" s="155"/>
      <c r="U28" s="138">
        <f t="shared" si="4"/>
        <v>0</v>
      </c>
      <c r="V28" s="138">
        <f t="shared" si="5"/>
        <v>0</v>
      </c>
    </row>
    <row r="29" spans="1:22" ht="15">
      <c r="A29" s="167"/>
      <c r="B29" s="168"/>
      <c r="C29" s="169"/>
      <c r="D29" s="169"/>
      <c r="E29" s="170"/>
      <c r="F29" s="58" t="str">
        <f>IF($N$8="","",IF($N$8="INDUSTRIAL",IF(OR($D$6="",$D$12=""),"",IF(OR(D29&gt;$D$13,E29&gt;$D$14),"Rev. Total. abona.",IF(D29="",IF(E29="","",E29/(0.9*1000)),IF(OR($D$6="SAN CRISTOBAL",$D$6="FLOREANA"),VLOOKUP(D29,'Estratos SCY - FLO'!$A$4:$M$108,IF($D$12="A1",2,IF($D$12="A",5,IF($D$12="B",8,11))))+E29/(0.92*1000),VLOOKUP(D29,'Estratos SCX - ISA'!$A$3:$M$107,IF($D$12="A1",2,IF($D$12="A",5,IF($D$12="B",8,11))))+E29/(0.92*1000))))),IF(OR($D$6="",$D$12=""),"",IF(OR(D29&gt;$D$13,E29&gt;$D$14),"Rev. Total. abona.",IF(D29="",IF(E29="","",E29/(0.92*1000)),IF(OR($D$6="SAN CRISTOBAL",$D$6="FLOREANA"),VLOOKUP(D29,'Estratos SCY - FLO'!$O$4:$S$108,IF($D$12="A1",2,IF($D$12="A",3,IF($D$12="B",4,5))))+E29/(0.92*1000),VLOOKUP(D29,'Estratos SCX - ISA'!$O$4:$S$108,IF($D$12="A1",2,IF($D$12="A",3,IF($D$12="B",4,5))))+E29/(0.92*1000)))))))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IF(OR(H29="",$D$10="",$N$10=""),"",IF($D$10="COBRE",VLOOKUP(CDV_PROY_BT!H29,FDV!$B$16:$E$24,IF(CDV_PROY_BT!$N$10="3F",3,4),FALSE),IF($D$10="ACS",VLOOKUP(CDV_PROY_BT!H29,FDV!$B$10:$E$15,IF(CDV_PROY_BT!$N$10="3F",3,4),FALSE),IF($D$10="5005 (PREENSAMBLADO)",VLOOKUP(CDV_PROY_BT!H29,FDV!$B$4:$E$9,IF(CDV_PROY_BT!$N$10="3F",3,4),FALSE),VLOOKUP(CDV_PROY_BT!H29,FDV!$B$25:$E$30,IF(CDV_PROY_BT!$N$10="3F",3,4),FALSE)))))</f>
        <v/>
      </c>
      <c r="K29" s="63" t="str">
        <f t="shared" si="0"/>
        <v/>
      </c>
      <c r="L29" s="62" t="str">
        <f t="shared" si="2"/>
        <v/>
      </c>
      <c r="M29" s="62" t="str">
        <f t="shared" si="3"/>
        <v/>
      </c>
      <c r="N29" s="155"/>
      <c r="U29" s="138">
        <f t="shared" si="4"/>
        <v>0</v>
      </c>
      <c r="V29" s="138">
        <f t="shared" si="5"/>
        <v>0</v>
      </c>
    </row>
    <row r="30" spans="1:22" ht="15">
      <c r="A30" s="167"/>
      <c r="B30" s="168"/>
      <c r="C30" s="169"/>
      <c r="D30" s="169"/>
      <c r="E30" s="170"/>
      <c r="F30" s="58" t="str">
        <f>IF($N$8="","",IF($N$8="INDUSTRIAL",IF(OR($D$6="",$D$12=""),"",IF(OR(D30&gt;$D$13,E30&gt;$D$14),"Rev. Total. abona.",IF(D30="",IF(E30="","",E30/(0.9*1000)),IF(OR($D$6="SAN CRISTOBAL",$D$6="FLOREANA"),VLOOKUP(D30,'Estratos SCY - FLO'!$A$4:$M$108,IF($D$12="A1",2,IF($D$12="A",5,IF($D$12="B",8,11))))+E30/(0.92*1000),VLOOKUP(D30,'Estratos SCX - ISA'!$A$3:$M$107,IF($D$12="A1",2,IF($D$12="A",5,IF($D$12="B",8,11))))+E30/(0.92*1000))))),IF(OR($D$6="",$D$12=""),"",IF(OR(D30&gt;$D$13,E30&gt;$D$14),"Rev. Total. abona.",IF(D30="",IF(E30="","",E30/(0.92*1000)),IF(OR($D$6="SAN CRISTOBAL",$D$6="FLOREANA"),VLOOKUP(D30,'Estratos SCY - FLO'!$O$4:$S$108,IF($D$12="A1",2,IF($D$12="A",3,IF($D$12="B",4,5))))+E30/(0.92*1000),VLOOKUP(D30,'Estratos SCX - ISA'!$O$4:$S$108,IF($D$12="A1",2,IF($D$12="A",3,IF($D$12="B",4,5))))+E30/(0.92*1000)))))))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IF(OR(H30="",$D$10="",$N$10=""),"",IF($D$10="COBRE",VLOOKUP(CDV_PROY_BT!H30,FDV!$B$16:$E$24,IF(CDV_PROY_BT!$N$10="3F",3,4),FALSE),IF($D$10="ACS",VLOOKUP(CDV_PROY_BT!H30,FDV!$B$10:$E$15,IF(CDV_PROY_BT!$N$10="3F",3,4),FALSE),IF($D$10="5005 (PREENSAMBLADO)",VLOOKUP(CDV_PROY_BT!H30,FDV!$B$4:$E$9,IF(CDV_PROY_BT!$N$10="3F",3,4),FALSE),VLOOKUP(CDV_PROY_BT!H30,FDV!$B$25:$E$30,IF(CDV_PROY_BT!$N$10="3F",3,4),FALSE)))))</f>
        <v/>
      </c>
      <c r="K30" s="63" t="str">
        <f t="shared" si="0"/>
        <v/>
      </c>
      <c r="L30" s="62" t="str">
        <f t="shared" si="2"/>
        <v/>
      </c>
      <c r="M30" s="62" t="str">
        <f t="shared" si="3"/>
        <v/>
      </c>
      <c r="N30" s="155"/>
      <c r="U30" s="138">
        <f t="shared" si="4"/>
        <v>0</v>
      </c>
      <c r="V30" s="138">
        <f t="shared" si="5"/>
        <v>0</v>
      </c>
    </row>
    <row r="31" spans="1:22" ht="15">
      <c r="A31" s="171"/>
      <c r="B31" s="172"/>
      <c r="C31" s="173"/>
      <c r="D31" s="173"/>
      <c r="E31" s="170"/>
      <c r="F31" s="58" t="str">
        <f>IF($N$8="","",IF($N$8="INDUSTRIAL",IF(OR($D$6="",$D$12=""),"",IF(OR(D31&gt;$D$13,E31&gt;$D$14),"Rev. Total. abona.",IF(D31="",IF(E31="","",E31/(0.9*1000)),IF(OR($D$6="SAN CRISTOBAL",$D$6="FLOREANA"),VLOOKUP(D31,'Estratos SCY - FLO'!$A$4:$M$108,IF($D$12="A1",2,IF($D$12="A",5,IF($D$12="B",8,11))))+E31/(0.92*1000),VLOOKUP(D31,'Estratos SCX - ISA'!$A$3:$M$107,IF($D$12="A1",2,IF($D$12="A",5,IF($D$12="B",8,11))))+E31/(0.92*1000))))),IF(OR($D$6="",$D$12=""),"",IF(OR(D31&gt;$D$13,E31&gt;$D$14),"Rev. Total. abona.",IF(D31="",IF(E31="","",E31/(0.92*1000)),IF(OR($D$6="SAN CRISTOBAL",$D$6="FLOREANA"),VLOOKUP(D31,'Estratos SCY - FLO'!$O$4:$S$108,IF($D$12="A1",2,IF($D$12="A",3,IF($D$12="B",4,5))))+E31/(0.92*1000),VLOOKUP(D31,'Estratos SCX - ISA'!$O$4:$S$108,IF($D$12="A1",2,IF($D$12="A",3,IF($D$12="B",4,5))))+E31/(0.92*1000)))))))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IF(OR(H31="",$D$10="",$N$10=""),"",IF($D$10="COBRE",VLOOKUP(CDV_PROY_BT!H31,FDV!$B$16:$E$24,IF(CDV_PROY_BT!$N$10="3F",3,4),FALSE),IF($D$10="ACS",VLOOKUP(CDV_PROY_BT!H31,FDV!$B$10:$E$15,IF(CDV_PROY_BT!$N$10="3F",3,4),FALSE),IF($D$10="5005 (PREENSAMBLADO)",VLOOKUP(CDV_PROY_BT!H31,FDV!$B$4:$E$9,IF(CDV_PROY_BT!$N$10="3F",3,4),FALSE),VLOOKUP(CDV_PROY_BT!H31,FDV!$B$25:$E$30,IF(CDV_PROY_BT!$N$10="3F",3,4),FALSE)))))</f>
        <v/>
      </c>
      <c r="K31" s="63" t="str">
        <f t="shared" si="0"/>
        <v/>
      </c>
      <c r="L31" s="62" t="str">
        <f t="shared" si="2"/>
        <v/>
      </c>
      <c r="M31" s="62" t="str">
        <f t="shared" si="3"/>
        <v/>
      </c>
      <c r="N31" s="155"/>
      <c r="U31" s="138">
        <f t="shared" si="4"/>
        <v>0</v>
      </c>
      <c r="V31" s="138">
        <f t="shared" si="5"/>
        <v>0</v>
      </c>
    </row>
    <row r="32" spans="1:22" ht="15">
      <c r="A32" s="167"/>
      <c r="B32" s="168"/>
      <c r="C32" s="169"/>
      <c r="D32" s="169"/>
      <c r="E32" s="174"/>
      <c r="F32" s="58" t="str">
        <f>IF($N$8="","",IF($N$8="INDUSTRIAL",IF(OR($D$6="",$D$12=""),"",IF(OR(D32&gt;$D$13,E32&gt;$D$14),"Rev. Total. abona.",IF(D32="",IF(E32="","",E32/(0.9*1000)),IF(OR($D$6="SAN CRISTOBAL",$D$6="FLOREANA"),VLOOKUP(D32,'Estratos SCY - FLO'!$A$4:$M$108,IF($D$12="A1",2,IF($D$12="A",5,IF($D$12="B",8,11))))+E32/(0.92*1000),VLOOKUP(D32,'Estratos SCX - ISA'!$A$3:$M$107,IF($D$12="A1",2,IF($D$12="A",5,IF($D$12="B",8,11))))+E32/(0.92*1000))))),IF(OR($D$6="",$D$12=""),"",IF(OR(D32&gt;$D$13,E32&gt;$D$14),"Rev. Total. abona.",IF(D32="",IF(E32="","",E32/(0.92*1000)),IF(OR($D$6="SAN CRISTOBAL",$D$6="FLOREANA"),VLOOKUP(D32,'Estratos SCY - FLO'!$O$4:$S$108,IF($D$12="A1",2,IF($D$12="A",3,IF($D$12="B",4,5))))+E32/(0.92*1000),VLOOKUP(D32,'Estratos SCX - ISA'!$O$4:$S$108,IF($D$12="A1",2,IF($D$12="A",3,IF($D$12="B",4,5))))+E32/(0.92*1000)))))))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IF(OR(H32="",$D$10="",$N$10=""),"",IF($D$10="COBRE",VLOOKUP(CDV_PROY_BT!H32,FDV!$B$16:$E$24,IF(CDV_PROY_BT!$N$10="3F",3,4),FALSE),IF($D$10="ACS",VLOOKUP(CDV_PROY_BT!H32,FDV!$B$10:$E$15,IF(CDV_PROY_BT!$N$10="3F",3,4),FALSE),IF($D$10="5005 (PREENSAMBLADO)",VLOOKUP(CDV_PROY_BT!H32,FDV!$B$4:$E$9,IF(CDV_PROY_BT!$N$10="3F",3,4),FALSE),VLOOKUP(CDV_PROY_BT!H32,FDV!$B$25:$E$30,IF(CDV_PROY_BT!$N$10="3F",3,4),FALSE)))))</f>
        <v/>
      </c>
      <c r="K32" s="63" t="str">
        <f t="shared" si="0"/>
        <v/>
      </c>
      <c r="L32" s="62" t="str">
        <f t="shared" si="2"/>
        <v/>
      </c>
      <c r="M32" s="62" t="str">
        <f t="shared" si="3"/>
        <v/>
      </c>
      <c r="N32" s="155"/>
      <c r="U32" s="138">
        <f t="shared" si="4"/>
        <v>0</v>
      </c>
      <c r="V32" s="138">
        <f t="shared" si="5"/>
        <v>0</v>
      </c>
    </row>
    <row r="33" spans="1:22" ht="15">
      <c r="A33" s="175"/>
      <c r="B33" s="176"/>
      <c r="C33" s="177"/>
      <c r="D33" s="177"/>
      <c r="E33" s="170"/>
      <c r="F33" s="58" t="str">
        <f>IF($N$8="","",IF($N$8="INDUSTRIAL",IF(OR($D$6="",$D$12=""),"",IF(OR(D33&gt;$D$13,E33&gt;$D$14),"Rev. Total. abona.",IF(D33="",IF(E33="","",E33/(0.9*1000)),IF(OR($D$6="SAN CRISTOBAL",$D$6="FLOREANA"),VLOOKUP(D33,'Estratos SCY - FLO'!$A$4:$M$108,IF($D$12="A1",2,IF($D$12="A",5,IF($D$12="B",8,11))))+E33/(0.92*1000),VLOOKUP(D33,'Estratos SCX - ISA'!$A$3:$M$107,IF($D$12="A1",2,IF($D$12="A",5,IF($D$12="B",8,11))))+E33/(0.92*1000))))),IF(OR($D$6="",$D$12=""),"",IF(OR(D33&gt;$D$13,E33&gt;$D$14),"Rev. Total. abona.",IF(D33="",IF(E33="","",E33/(0.92*1000)),IF(OR($D$6="SAN CRISTOBAL",$D$6="FLOREANA"),VLOOKUP(D33,'Estratos SCY - FLO'!$O$4:$S$108,IF($D$12="A1",2,IF($D$12="A",3,IF($D$12="B",4,5))))+E33/(0.92*1000),VLOOKUP(D33,'Estratos SCX - ISA'!$O$4:$S$108,IF($D$12="A1",2,IF($D$12="A",3,IF($D$12="B",4,5))))+E33/(0.92*1000)))))))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IF(OR(H33="",$D$10="",$N$10=""),"",IF($D$10="COBRE",VLOOKUP(CDV_PROY_BT!H33,FDV!$B$16:$E$24,IF(CDV_PROY_BT!$N$10="3F",3,4),FALSE),IF($D$10="ACS",VLOOKUP(CDV_PROY_BT!H33,FDV!$B$10:$E$15,IF(CDV_PROY_BT!$N$10="3F",3,4),FALSE),IF($D$10="5005 (PREENSAMBLADO)",VLOOKUP(CDV_PROY_BT!H33,FDV!$B$4:$E$9,IF(CDV_PROY_BT!$N$10="3F",3,4),FALSE),VLOOKUP(CDV_PROY_BT!H33,FDV!$B$25:$E$30,IF(CDV_PROY_BT!$N$10="3F",3,4),FALSE)))))</f>
        <v/>
      </c>
      <c r="K33" s="63" t="str">
        <f t="shared" si="0"/>
        <v/>
      </c>
      <c r="L33" s="62" t="str">
        <f t="shared" si="2"/>
        <v/>
      </c>
      <c r="M33" s="62" t="str">
        <f t="shared" si="3"/>
        <v/>
      </c>
      <c r="N33" s="155"/>
      <c r="U33" s="138">
        <f t="shared" si="4"/>
        <v>0</v>
      </c>
      <c r="V33" s="138">
        <f t="shared" si="5"/>
        <v>0</v>
      </c>
    </row>
    <row r="34" spans="1:22" ht="15">
      <c r="A34" s="167"/>
      <c r="B34" s="168"/>
      <c r="C34" s="169"/>
      <c r="D34" s="169"/>
      <c r="E34" s="170"/>
      <c r="F34" s="58" t="str">
        <f>IF($N$8="","",IF($N$8="INDUSTRIAL",IF(OR($D$6="",$D$12=""),"",IF(OR(D34&gt;$D$13,E34&gt;$D$14),"Rev. Total. abona.",IF(D34="",IF(E34="","",E34/(0.9*1000)),IF(OR($D$6="SAN CRISTOBAL",$D$6="FLOREANA"),VLOOKUP(D34,'Estratos SCY - FLO'!$A$4:$M$108,IF($D$12="A1",2,IF($D$12="A",5,IF($D$12="B",8,11))))+E34/(0.92*1000),VLOOKUP(D34,'Estratos SCX - ISA'!$A$3:$M$107,IF($D$12="A1",2,IF($D$12="A",5,IF($D$12="B",8,11))))+E34/(0.92*1000))))),IF(OR($D$6="",$D$12=""),"",IF(OR(D34&gt;$D$13,E34&gt;$D$14),"Rev. Total. abona.",IF(D34="",IF(E34="","",E34/(0.92*1000)),IF(OR($D$6="SAN CRISTOBAL",$D$6="FLOREANA"),VLOOKUP(D34,'Estratos SCY - FLO'!$O$4:$S$108,IF($D$12="A1",2,IF($D$12="A",3,IF($D$12="B",4,5))))+E34/(0.92*1000),VLOOKUP(D34,'Estratos SCX - ISA'!$O$4:$S$108,IF($D$12="A1",2,IF($D$12="A",3,IF($D$12="B",4,5))))+E34/(0.92*1000)))))))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IF(OR(H34="",$D$10="",$N$10=""),"",IF($D$10="COBRE",VLOOKUP(CDV_PROY_BT!H34,FDV!$B$16:$E$24,IF(CDV_PROY_BT!$N$10="3F",3,4),FALSE),IF($D$10="ACS",VLOOKUP(CDV_PROY_BT!H34,FDV!$B$10:$E$15,IF(CDV_PROY_BT!$N$10="3F",3,4),FALSE),IF($D$10="5005 (PREENSAMBLADO)",VLOOKUP(CDV_PROY_BT!H34,FDV!$B$4:$E$9,IF(CDV_PROY_BT!$N$10="3F",3,4),FALSE),VLOOKUP(CDV_PROY_BT!H34,FDV!$B$25:$E$30,IF(CDV_PROY_BT!$N$10="3F",3,4),FALSE)))))</f>
        <v/>
      </c>
      <c r="K34" s="63" t="str">
        <f t="shared" si="0"/>
        <v/>
      </c>
      <c r="L34" s="62" t="str">
        <f t="shared" si="2"/>
        <v/>
      </c>
      <c r="M34" s="62" t="str">
        <f t="shared" si="3"/>
        <v/>
      </c>
      <c r="N34" s="155"/>
      <c r="U34" s="138">
        <f t="shared" si="4"/>
        <v>0</v>
      </c>
      <c r="V34" s="138">
        <f t="shared" si="5"/>
        <v>0</v>
      </c>
    </row>
    <row r="35" spans="1:22" ht="15">
      <c r="A35" s="167"/>
      <c r="B35" s="168"/>
      <c r="C35" s="169"/>
      <c r="D35" s="169"/>
      <c r="E35" s="170"/>
      <c r="F35" s="58" t="str">
        <f>IF($N$8="","",IF($N$8="INDUSTRIAL",IF(OR($D$6="",$D$12=""),"",IF(OR(D35&gt;$D$13,E35&gt;$D$14),"Rev. Total. abona.",IF(D35="",IF(E35="","",E35/(0.9*1000)),IF(OR($D$6="SAN CRISTOBAL",$D$6="FLOREANA"),VLOOKUP(D35,'Estratos SCY - FLO'!$A$4:$M$108,IF($D$12="A1",2,IF($D$12="A",5,IF($D$12="B",8,11))))+E35/(0.92*1000),VLOOKUP(D35,'Estratos SCX - ISA'!$A$3:$M$107,IF($D$12="A1",2,IF($D$12="A",5,IF($D$12="B",8,11))))+E35/(0.92*1000))))),IF(OR($D$6="",$D$12=""),"",IF(OR(D35&gt;$D$13,E35&gt;$D$14),"Rev. Total. abona.",IF(D35="",IF(E35="","",E35/(0.92*1000)),IF(OR($D$6="SAN CRISTOBAL",$D$6="FLOREANA"),VLOOKUP(D35,'Estratos SCY - FLO'!$O$4:$S$108,IF($D$12="A1",2,IF($D$12="A",3,IF($D$12="B",4,5))))+E35/(0.92*1000),VLOOKUP(D35,'Estratos SCX - ISA'!$O$4:$S$108,IF($D$12="A1",2,IF($D$12="A",3,IF($D$12="B",4,5))))+E35/(0.92*1000)))))))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IF(OR(H35="",$D$10="",$N$10=""),"",IF($D$10="COBRE",VLOOKUP(CDV_PROY_BT!H35,FDV!$B$16:$E$24,IF(CDV_PROY_BT!$N$10="3F",3,4),FALSE),IF($D$10="ACS",VLOOKUP(CDV_PROY_BT!H35,FDV!$B$10:$E$15,IF(CDV_PROY_BT!$N$10="3F",3,4),FALSE),IF($D$10="5005 (PREENSAMBLADO)",VLOOKUP(CDV_PROY_BT!H35,FDV!$B$4:$E$9,IF(CDV_PROY_BT!$N$10="3F",3,4),FALSE),VLOOKUP(CDV_PROY_BT!H35,FDV!$B$25:$E$30,IF(CDV_PROY_BT!$N$10="3F",3,4),FALSE)))))</f>
        <v/>
      </c>
      <c r="K35" s="63" t="str">
        <f t="shared" si="0"/>
        <v/>
      </c>
      <c r="L35" s="62" t="str">
        <f t="shared" si="2"/>
        <v/>
      </c>
      <c r="M35" s="62" t="str">
        <f t="shared" si="3"/>
        <v/>
      </c>
      <c r="N35" s="155"/>
      <c r="U35" s="138">
        <f t="shared" si="4"/>
        <v>0</v>
      </c>
      <c r="V35" s="138">
        <f t="shared" si="5"/>
        <v>0</v>
      </c>
    </row>
    <row r="36" spans="1:22" ht="15">
      <c r="A36" s="167"/>
      <c r="B36" s="168"/>
      <c r="C36" s="169"/>
      <c r="D36" s="169"/>
      <c r="E36" s="170"/>
      <c r="F36" s="58" t="str">
        <f>IF($N$8="","",IF($N$8="INDUSTRIAL",IF(OR($D$6="",$D$12=""),"",IF(OR(D36&gt;$D$13,E36&gt;$D$14),"Rev. Total. abona.",IF(D36="",IF(E36="","",E36/(0.9*1000)),IF(OR($D$6="SAN CRISTOBAL",$D$6="FLOREANA"),VLOOKUP(D36,'Estratos SCY - FLO'!$A$4:$M$108,IF($D$12="A1",2,IF($D$12="A",5,IF($D$12="B",8,11))))+E36/(0.92*1000),VLOOKUP(D36,'Estratos SCX - ISA'!$A$3:$M$107,IF($D$12="A1",2,IF($D$12="A",5,IF($D$12="B",8,11))))+E36/(0.92*1000))))),IF(OR($D$6="",$D$12=""),"",IF(OR(D36&gt;$D$13,E36&gt;$D$14),"Rev. Total. abona.",IF(D36="",IF(E36="","",E36/(0.92*1000)),IF(OR($D$6="SAN CRISTOBAL",$D$6="FLOREANA"),VLOOKUP(D36,'Estratos SCY - FLO'!$O$4:$S$108,IF($D$12="A1",2,IF($D$12="A",3,IF($D$12="B",4,5))))+E36/(0.92*1000),VLOOKUP(D36,'Estratos SCX - ISA'!$O$4:$S$108,IF($D$12="A1",2,IF($D$12="A",3,IF($D$12="B",4,5))))+E36/(0.92*1000)))))))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IF(OR(H36="",$D$10="",$N$10=""),"",IF($D$10="COBRE",VLOOKUP(CDV_PROY_BT!H36,FDV!$B$16:$E$24,IF(CDV_PROY_BT!$N$10="3F",3,4),FALSE),IF($D$10="ACS",VLOOKUP(CDV_PROY_BT!H36,FDV!$B$10:$E$15,IF(CDV_PROY_BT!$N$10="3F",3,4),FALSE),IF($D$10="5005 (PREENSAMBLADO)",VLOOKUP(CDV_PROY_BT!H36,FDV!$B$4:$E$9,IF(CDV_PROY_BT!$N$10="3F",3,4),FALSE),VLOOKUP(CDV_PROY_BT!H36,FDV!$B$25:$E$30,IF(CDV_PROY_BT!$N$10="3F",3,4),FALSE)))))</f>
        <v/>
      </c>
      <c r="K36" s="63" t="str">
        <f t="shared" si="0"/>
        <v/>
      </c>
      <c r="L36" s="62" t="str">
        <f t="shared" si="2"/>
        <v/>
      </c>
      <c r="M36" s="62" t="str">
        <f t="shared" si="3"/>
        <v/>
      </c>
      <c r="N36" s="155"/>
      <c r="U36" s="138">
        <f t="shared" si="4"/>
        <v>0</v>
      </c>
      <c r="V36" s="138">
        <f t="shared" si="5"/>
        <v>0</v>
      </c>
    </row>
    <row r="37" spans="1:22" ht="15">
      <c r="A37" s="167"/>
      <c r="B37" s="168"/>
      <c r="C37" s="169"/>
      <c r="D37" s="169"/>
      <c r="E37" s="170"/>
      <c r="F37" s="58" t="str">
        <f>IF($N$8="","",IF($N$8="INDUSTRIAL",IF(OR($D$6="",$D$12=""),"",IF(OR(D37&gt;$D$13,E37&gt;$D$14),"Rev. Total. abona.",IF(D37="",IF(E37="","",E37/(0.9*1000)),IF(OR($D$6="SAN CRISTOBAL",$D$6="FLOREANA"),VLOOKUP(D37,'Estratos SCY - FLO'!$A$4:$M$108,IF($D$12="A1",2,IF($D$12="A",5,IF($D$12="B",8,11))))+E37/(0.92*1000),VLOOKUP(D37,'Estratos SCX - ISA'!$A$3:$M$107,IF($D$12="A1",2,IF($D$12="A",5,IF($D$12="B",8,11))))+E37/(0.92*1000))))),IF(OR($D$6="",$D$12=""),"",IF(OR(D37&gt;$D$13,E37&gt;$D$14),"Rev. Total. abona.",IF(D37="",IF(E37="","",E37/(0.92*1000)),IF(OR($D$6="SAN CRISTOBAL",$D$6="FLOREANA"),VLOOKUP(D37,'Estratos SCY - FLO'!$O$4:$S$108,IF($D$12="A1",2,IF($D$12="A",3,IF($D$12="B",4,5))))+E37/(0.92*1000),VLOOKUP(D37,'Estratos SCX - ISA'!$O$4:$S$108,IF($D$12="A1",2,IF($D$12="A",3,IF($D$12="B",4,5))))+E37/(0.92*1000)))))))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IF(OR(H37="",$D$10="",$N$10=""),"",IF($D$10="COBRE",VLOOKUP(CDV_PROY_BT!H37,FDV!$B$16:$E$24,IF(CDV_PROY_BT!$N$10="3F",3,4),FALSE),IF($D$10="ACS",VLOOKUP(CDV_PROY_BT!H37,FDV!$B$10:$E$15,IF(CDV_PROY_BT!$N$10="3F",3,4),FALSE),IF($D$10="5005 (PREENSAMBLADO)",VLOOKUP(CDV_PROY_BT!H37,FDV!$B$4:$E$9,IF(CDV_PROY_BT!$N$10="3F",3,4),FALSE),VLOOKUP(CDV_PROY_BT!H37,FDV!$B$25:$E$30,IF(CDV_PROY_BT!$N$10="3F",3,4),FALSE)))))</f>
        <v/>
      </c>
      <c r="K37" s="63" t="str">
        <f t="shared" si="0"/>
        <v/>
      </c>
      <c r="L37" s="62" t="str">
        <f t="shared" si="2"/>
        <v/>
      </c>
      <c r="M37" s="62" t="str">
        <f t="shared" si="3"/>
        <v/>
      </c>
      <c r="N37" s="155"/>
      <c r="U37" s="138">
        <f t="shared" si="4"/>
        <v>0</v>
      </c>
      <c r="V37" s="138">
        <f t="shared" si="5"/>
        <v>0</v>
      </c>
    </row>
    <row r="38" spans="1:22" ht="15">
      <c r="A38" s="167"/>
      <c r="B38" s="168"/>
      <c r="C38" s="169"/>
      <c r="D38" s="169"/>
      <c r="E38" s="170"/>
      <c r="F38" s="58" t="str">
        <f>IF($N$8="","",IF($N$8="INDUSTRIAL",IF(OR($D$6="",$D$12=""),"",IF(OR(D38&gt;$D$13,E38&gt;$D$14),"Rev. Total. abona.",IF(D38="",IF(E38="","",E38/(0.9*1000)),IF(OR($D$6="SAN CRISTOBAL",$D$6="FLOREANA"),VLOOKUP(D38,'Estratos SCY - FLO'!$A$4:$M$108,IF($D$12="A1",2,IF($D$12="A",5,IF($D$12="B",8,11))))+E38/(0.92*1000),VLOOKUP(D38,'Estratos SCX - ISA'!$A$3:$M$107,IF($D$12="A1",2,IF($D$12="A",5,IF($D$12="B",8,11))))+E38/(0.92*1000))))),IF(OR($D$6="",$D$12=""),"",IF(OR(D38&gt;$D$13,E38&gt;$D$14),"Rev. Total. abona.",IF(D38="",IF(E38="","",E38/(0.92*1000)),IF(OR($D$6="SAN CRISTOBAL",$D$6="FLOREANA"),VLOOKUP(D38,'Estratos SCY - FLO'!$O$4:$S$108,IF($D$12="A1",2,IF($D$12="A",3,IF($D$12="B",4,5))))+E38/(0.92*1000),VLOOKUP(D38,'Estratos SCX - ISA'!$O$4:$S$108,IF($D$12="A1",2,IF($D$12="A",3,IF($D$12="B",4,5))))+E38/(0.92*1000)))))))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IF(OR(H38="",$D$10="",$N$10=""),"",IF($D$10="COBRE",VLOOKUP(CDV_PROY_BT!H38,FDV!$B$16:$E$24,IF(CDV_PROY_BT!$N$10="3F",3,4),FALSE),IF($D$10="ACS",VLOOKUP(CDV_PROY_BT!H38,FDV!$B$10:$E$15,IF(CDV_PROY_BT!$N$10="3F",3,4),FALSE),IF($D$10="5005 (PREENSAMBLADO)",VLOOKUP(CDV_PROY_BT!H38,FDV!$B$4:$E$9,IF(CDV_PROY_BT!$N$10="3F",3,4),FALSE),VLOOKUP(CDV_PROY_BT!H38,FDV!$B$25:$E$30,IF(CDV_PROY_BT!$N$10="3F",3,4),FALSE)))))</f>
        <v/>
      </c>
      <c r="K38" s="63" t="str">
        <f t="shared" si="0"/>
        <v/>
      </c>
      <c r="L38" s="62" t="str">
        <f t="shared" si="2"/>
        <v/>
      </c>
      <c r="M38" s="62" t="str">
        <f t="shared" si="3"/>
        <v/>
      </c>
      <c r="N38" s="155"/>
      <c r="U38" s="138">
        <f t="shared" si="4"/>
        <v>0</v>
      </c>
      <c r="V38" s="138">
        <f t="shared" si="5"/>
        <v>0</v>
      </c>
    </row>
    <row r="39" spans="1:22" ht="15">
      <c r="A39" s="167"/>
      <c r="B39" s="168"/>
      <c r="C39" s="169"/>
      <c r="D39" s="169"/>
      <c r="E39" s="170"/>
      <c r="F39" s="58" t="str">
        <f>IF($N$8="","",IF($N$8="INDUSTRIAL",IF(OR($D$6="",$D$12=""),"",IF(OR(D39&gt;$D$13,E39&gt;$D$14),"Rev. Total. abona.",IF(D39="",IF(E39="","",E39/(0.9*1000)),IF(OR($D$6="SAN CRISTOBAL",$D$6="FLOREANA"),VLOOKUP(D39,'Estratos SCY - FLO'!$A$4:$M$108,IF($D$12="A1",2,IF($D$12="A",5,IF($D$12="B",8,11))))+E39/(0.92*1000),VLOOKUP(D39,'Estratos SCX - ISA'!$A$3:$M$107,IF($D$12="A1",2,IF($D$12="A",5,IF($D$12="B",8,11))))+E39/(0.92*1000))))),IF(OR($D$6="",$D$12=""),"",IF(OR(D39&gt;$D$13,E39&gt;$D$14),"Rev. Total. abona.",IF(D39="",IF(E39="","",E39/(0.92*1000)),IF(OR($D$6="SAN CRISTOBAL",$D$6="FLOREANA"),VLOOKUP(D39,'Estratos SCY - FLO'!$O$4:$S$108,IF($D$12="A1",2,IF($D$12="A",3,IF($D$12="B",4,5))))+E39/(0.92*1000),VLOOKUP(D39,'Estratos SCX - ISA'!$O$4:$S$108,IF($D$12="A1",2,IF($D$12="A",3,IF($D$12="B",4,5))))+E39/(0.92*1000)))))))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IF(OR(H39="",$D$10="",$N$10=""),"",IF($D$10="COBRE",VLOOKUP(CDV_PROY_BT!H39,FDV!$B$16:$E$24,IF(CDV_PROY_BT!$N$10="3F",3,4),FALSE),IF($D$10="ACS",VLOOKUP(CDV_PROY_BT!H39,FDV!$B$10:$E$15,IF(CDV_PROY_BT!$N$10="3F",3,4),FALSE),IF($D$10="5005 (PREENSAMBLADO)",VLOOKUP(CDV_PROY_BT!H39,FDV!$B$4:$E$9,IF(CDV_PROY_BT!$N$10="3F",3,4),FALSE),VLOOKUP(CDV_PROY_BT!H39,FDV!$B$25:$E$30,IF(CDV_PROY_BT!$N$10="3F",3,4),FALSE)))))</f>
        <v/>
      </c>
      <c r="K39" s="63" t="str">
        <f t="shared" si="0"/>
        <v/>
      </c>
      <c r="L39" s="62" t="str">
        <f t="shared" si="2"/>
        <v/>
      </c>
      <c r="M39" s="62" t="str">
        <f t="shared" si="3"/>
        <v/>
      </c>
      <c r="N39" s="155"/>
      <c r="U39" s="138">
        <f t="shared" si="4"/>
        <v>0</v>
      </c>
      <c r="V39" s="138">
        <f t="shared" si="5"/>
        <v>0</v>
      </c>
    </row>
    <row r="40" spans="1:22" ht="15">
      <c r="A40" s="167"/>
      <c r="B40" s="168"/>
      <c r="C40" s="169"/>
      <c r="D40" s="169"/>
      <c r="E40" s="170"/>
      <c r="F40" s="58" t="str">
        <f>IF($N$8="","",IF($N$8="INDUSTRIAL",IF(OR($D$6="",$D$12=""),"",IF(OR(D40&gt;$D$13,E40&gt;$D$14),"Rev. Total. abona.",IF(D40="",IF(E40="","",E40/(0.9*1000)),IF(OR($D$6="SAN CRISTOBAL",$D$6="FLOREANA"),VLOOKUP(D40,'Estratos SCY - FLO'!$A$4:$M$108,IF($D$12="A1",2,IF($D$12="A",5,IF($D$12="B",8,11))))+E40/(0.92*1000),VLOOKUP(D40,'Estratos SCX - ISA'!$A$3:$M$107,IF($D$12="A1",2,IF($D$12="A",5,IF($D$12="B",8,11))))+E40/(0.92*1000))))),IF(OR($D$6="",$D$12=""),"",IF(OR(D40&gt;$D$13,E40&gt;$D$14),"Rev. Total. abona.",IF(D40="",IF(E40="","",E40/(0.92*1000)),IF(OR($D$6="SAN CRISTOBAL",$D$6="FLOREANA"),VLOOKUP(D40,'Estratos SCY - FLO'!$O$4:$S$108,IF($D$12="A1",2,IF($D$12="A",3,IF($D$12="B",4,5))))+E40/(0.92*1000),VLOOKUP(D40,'Estratos SCX - ISA'!$O$4:$S$108,IF($D$12="A1",2,IF($D$12="A",3,IF($D$12="B",4,5))))+E40/(0.92*1000)))))))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IF(OR(H40="",$D$10="",$N$10=""),"",IF($D$10="COBRE",VLOOKUP(CDV_PROY_BT!H40,FDV!$B$16:$E$24,IF(CDV_PROY_BT!$N$10="3F",3,4),FALSE),IF($D$10="ACS",VLOOKUP(CDV_PROY_BT!H40,FDV!$B$10:$E$15,IF(CDV_PROY_BT!$N$10="3F",3,4),FALSE),IF($D$10="5005 (PREENSAMBLADO)",VLOOKUP(CDV_PROY_BT!H40,FDV!$B$4:$E$9,IF(CDV_PROY_BT!$N$10="3F",3,4),FALSE),VLOOKUP(CDV_PROY_BT!H40,FDV!$B$25:$E$30,IF(CDV_PROY_BT!$N$10="3F",3,4),FALSE)))))</f>
        <v/>
      </c>
      <c r="K40" s="63" t="str">
        <f t="shared" si="0"/>
        <v/>
      </c>
      <c r="L40" s="62" t="str">
        <f t="shared" si="2"/>
        <v/>
      </c>
      <c r="M40" s="62" t="str">
        <f t="shared" si="3"/>
        <v/>
      </c>
      <c r="N40" s="155"/>
      <c r="U40" s="138">
        <f t="shared" si="4"/>
        <v>0</v>
      </c>
      <c r="V40" s="138">
        <f t="shared" si="5"/>
        <v>0</v>
      </c>
    </row>
    <row r="41" spans="1:22" ht="15">
      <c r="A41" s="167"/>
      <c r="B41" s="168"/>
      <c r="C41" s="169"/>
      <c r="D41" s="169"/>
      <c r="E41" s="170"/>
      <c r="F41" s="58" t="str">
        <f>IF($N$8="","",IF($N$8="INDUSTRIAL",IF(OR($D$6="",$D$12=""),"",IF(OR(D41&gt;$D$13,E41&gt;$D$14),"Rev. Total. abona.",IF(D41="",IF(E41="","",E41/(0.9*1000)),IF(OR($D$6="SAN CRISTOBAL",$D$6="FLOREANA"),VLOOKUP(D41,'Estratos SCY - FLO'!$A$4:$M$108,IF($D$12="A1",2,IF($D$12="A",5,IF($D$12="B",8,11))))+E41/(0.92*1000),VLOOKUP(D41,'Estratos SCX - ISA'!$A$3:$M$107,IF($D$12="A1",2,IF($D$12="A",5,IF($D$12="B",8,11))))+E41/(0.92*1000))))),IF(OR($D$6="",$D$12=""),"",IF(OR(D41&gt;$D$13,E41&gt;$D$14),"Rev. Total. abona.",IF(D41="",IF(E41="","",E41/(0.92*1000)),IF(OR($D$6="SAN CRISTOBAL",$D$6="FLOREANA"),VLOOKUP(D41,'Estratos SCY - FLO'!$O$4:$S$108,IF($D$12="A1",2,IF($D$12="A",3,IF($D$12="B",4,5))))+E41/(0.92*1000),VLOOKUP(D41,'Estratos SCX - ISA'!$O$4:$S$108,IF($D$12="A1",2,IF($D$12="A",3,IF($D$12="B",4,5))))+E41/(0.92*1000)))))))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IF(OR(H41="",$D$10="",$N$10=""),"",IF($D$10="COBRE",VLOOKUP(CDV_PROY_BT!H41,FDV!$B$16:$E$24,IF(CDV_PROY_BT!$N$10="3F",3,4),FALSE),IF($D$10="ACS",VLOOKUP(CDV_PROY_BT!H41,FDV!$B$10:$E$15,IF(CDV_PROY_BT!$N$10="3F",3,4),FALSE),IF($D$10="5005 (PREENSAMBLADO)",VLOOKUP(CDV_PROY_BT!H41,FDV!$B$4:$E$9,IF(CDV_PROY_BT!$N$10="3F",3,4),FALSE),VLOOKUP(CDV_PROY_BT!H41,FDV!$B$25:$E$30,IF(CDV_PROY_BT!$N$10="3F",3,4),FALSE)))))</f>
        <v/>
      </c>
      <c r="K41" s="63" t="str">
        <f t="shared" si="0"/>
        <v/>
      </c>
      <c r="L41" s="62" t="str">
        <f t="shared" si="2"/>
        <v/>
      </c>
      <c r="M41" s="62" t="str">
        <f t="shared" si="3"/>
        <v/>
      </c>
      <c r="N41" s="155"/>
      <c r="U41" s="138">
        <f t="shared" si="4"/>
        <v>0</v>
      </c>
      <c r="V41" s="138">
        <f t="shared" si="5"/>
        <v>0</v>
      </c>
    </row>
    <row r="42" spans="1:22" ht="15">
      <c r="A42" s="167"/>
      <c r="B42" s="168"/>
      <c r="C42" s="169"/>
      <c r="D42" s="169"/>
      <c r="E42" s="170"/>
      <c r="F42" s="58" t="str">
        <f>IF($N$8="","",IF($N$8="INDUSTRIAL",IF(OR($D$6="",$D$12=""),"",IF(OR(D42&gt;$D$13,E42&gt;$D$14),"Rev. Total. abona.",IF(D42="",IF(E42="","",E42/(0.9*1000)),IF(OR($D$6="SAN CRISTOBAL",$D$6="FLOREANA"),VLOOKUP(D42,'Estratos SCY - FLO'!$A$4:$M$108,IF($D$12="A1",2,IF($D$12="A",5,IF($D$12="B",8,11))))+E42/(0.92*1000),VLOOKUP(D42,'Estratos SCX - ISA'!$A$3:$M$107,IF($D$12="A1",2,IF($D$12="A",5,IF($D$12="B",8,11))))+E42/(0.92*1000))))),IF(OR($D$6="",$D$12=""),"",IF(OR(D42&gt;$D$13,E42&gt;$D$14),"Rev. Total. abona.",IF(D42="",IF(E42="","",E42/(0.92*1000)),IF(OR($D$6="SAN CRISTOBAL",$D$6="FLOREANA"),VLOOKUP(D42,'Estratos SCY - FLO'!$O$4:$S$108,IF($D$12="A1",2,IF($D$12="A",3,IF($D$12="B",4,5))))+E42/(0.92*1000),VLOOKUP(D42,'Estratos SCX - ISA'!$O$4:$S$108,IF($D$12="A1",2,IF($D$12="A",3,IF($D$12="B",4,5))))+E42/(0.92*1000)))))))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IF(OR(H42="",$D$10="",$N$10=""),"",IF($D$10="COBRE",VLOOKUP(CDV_PROY_BT!H42,FDV!$B$16:$E$24,IF(CDV_PROY_BT!$N$10="3F",3,4),FALSE),IF($D$10="ACS",VLOOKUP(CDV_PROY_BT!H42,FDV!$B$10:$E$15,IF(CDV_PROY_BT!$N$10="3F",3,4),FALSE),IF($D$10="5005 (PREENSAMBLADO)",VLOOKUP(CDV_PROY_BT!H42,FDV!$B$4:$E$9,IF(CDV_PROY_BT!$N$10="3F",3,4),FALSE),VLOOKUP(CDV_PROY_BT!H42,FDV!$B$25:$E$30,IF(CDV_PROY_BT!$N$10="3F",3,4),FALSE)))))</f>
        <v/>
      </c>
      <c r="K42" s="63" t="str">
        <f t="shared" si="0"/>
        <v/>
      </c>
      <c r="L42" s="62" t="str">
        <f t="shared" si="2"/>
        <v/>
      </c>
      <c r="M42" s="62" t="str">
        <f t="shared" si="3"/>
        <v/>
      </c>
      <c r="N42" s="155"/>
      <c r="U42" s="138">
        <f t="shared" si="4"/>
        <v>0</v>
      </c>
      <c r="V42" s="138">
        <f t="shared" si="5"/>
        <v>0</v>
      </c>
    </row>
    <row r="43" spans="1:22" ht="15">
      <c r="A43" s="167"/>
      <c r="B43" s="168"/>
      <c r="C43" s="169"/>
      <c r="D43" s="169"/>
      <c r="E43" s="170"/>
      <c r="F43" s="58" t="str">
        <f>IF($N$8="","",IF($N$8="INDUSTRIAL",IF(OR($D$6="",$D$12=""),"",IF(OR(D43&gt;$D$13,E43&gt;$D$14),"Rev. Total. abona.",IF(D43="",IF(E43="","",E43/(0.9*1000)),IF(OR($D$6="SAN CRISTOBAL",$D$6="FLOREANA"),VLOOKUP(D43,'Estratos SCY - FLO'!$A$4:$M$108,IF($D$12="A1",2,IF($D$12="A",5,IF($D$12="B",8,11))))+E43/(0.92*1000),VLOOKUP(D43,'Estratos SCX - ISA'!$A$3:$M$107,IF($D$12="A1",2,IF($D$12="A",5,IF($D$12="B",8,11))))+E43/(0.92*1000))))),IF(OR($D$6="",$D$12=""),"",IF(OR(D43&gt;$D$13,E43&gt;$D$14),"Rev. Total. abona.",IF(D43="",IF(E43="","",E43/(0.92*1000)),IF(OR($D$6="SAN CRISTOBAL",$D$6="FLOREANA"),VLOOKUP(D43,'Estratos SCY - FLO'!$O$4:$S$108,IF($D$12="A1",2,IF($D$12="A",3,IF($D$12="B",4,5))))+E43/(0.92*1000),VLOOKUP(D43,'Estratos SCX - ISA'!$O$4:$S$108,IF($D$12="A1",2,IF($D$12="A",3,IF($D$12="B",4,5))))+E43/(0.92*1000)))))))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IF(OR(H43="",$D$10="",$N$10=""),"",IF($D$10="COBRE",VLOOKUP(CDV_PROY_BT!H43,FDV!$B$16:$E$24,IF(CDV_PROY_BT!$N$10="3F",3,4),FALSE),IF($D$10="ACS",VLOOKUP(CDV_PROY_BT!H43,FDV!$B$10:$E$15,IF(CDV_PROY_BT!$N$10="3F",3,4),FALSE),IF($D$10="5005 (PREENSAMBLADO)",VLOOKUP(CDV_PROY_BT!H43,FDV!$B$4:$E$9,IF(CDV_PROY_BT!$N$10="3F",3,4),FALSE),VLOOKUP(CDV_PROY_BT!H43,FDV!$B$25:$E$30,IF(CDV_PROY_BT!$N$10="3F",3,4),FALSE)))))</f>
        <v/>
      </c>
      <c r="K43" s="63" t="str">
        <f t="shared" si="0"/>
        <v/>
      </c>
      <c r="L43" s="62" t="str">
        <f t="shared" si="2"/>
        <v/>
      </c>
      <c r="M43" s="62" t="str">
        <f t="shared" si="3"/>
        <v/>
      </c>
      <c r="N43" s="155"/>
      <c r="U43" s="138">
        <f t="shared" si="4"/>
        <v>0</v>
      </c>
      <c r="V43" s="138">
        <f t="shared" si="5"/>
        <v>0</v>
      </c>
    </row>
    <row r="44" spans="1:22" ht="15">
      <c r="A44" s="167"/>
      <c r="B44" s="168"/>
      <c r="C44" s="169"/>
      <c r="D44" s="169"/>
      <c r="E44" s="170"/>
      <c r="F44" s="58" t="str">
        <f>IF($N$8="","",IF($N$8="INDUSTRIAL",IF(OR($D$6="",$D$12=""),"",IF(OR(D44&gt;$D$13,E44&gt;$D$14),"Rev. Total. abona.",IF(D44="",IF(E44="","",E44/(0.9*1000)),IF(OR($D$6="SAN CRISTOBAL",$D$6="FLOREANA"),VLOOKUP(D44,'Estratos SCY - FLO'!$A$4:$M$108,IF($D$12="A1",2,IF($D$12="A",5,IF($D$12="B",8,11))))+E44/(0.92*1000),VLOOKUP(D44,'Estratos SCX - ISA'!$A$3:$M$107,IF($D$12="A1",2,IF($D$12="A",5,IF($D$12="B",8,11))))+E44/(0.92*1000))))),IF(OR($D$6="",$D$12=""),"",IF(OR(D44&gt;$D$13,E44&gt;$D$14),"Rev. Total. abona.",IF(D44="",IF(E44="","",E44/(0.92*1000)),IF(OR($D$6="SAN CRISTOBAL",$D$6="FLOREANA"),VLOOKUP(D44,'Estratos SCY - FLO'!$O$4:$S$108,IF($D$12="A1",2,IF($D$12="A",3,IF($D$12="B",4,5))))+E44/(0.92*1000),VLOOKUP(D44,'Estratos SCX - ISA'!$O$4:$S$108,IF($D$12="A1",2,IF($D$12="A",3,IF($D$12="B",4,5))))+E44/(0.92*1000)))))))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IF(OR(H44="",$D$10="",$N$10=""),"",IF($D$10="COBRE",VLOOKUP(CDV_PROY_BT!H44,FDV!$B$16:$E$24,IF(CDV_PROY_BT!$N$10="3F",3,4),FALSE),IF($D$10="ACS",VLOOKUP(CDV_PROY_BT!H44,FDV!$B$10:$E$15,IF(CDV_PROY_BT!$N$10="3F",3,4),FALSE),IF($D$10="5005 (PREENSAMBLADO)",VLOOKUP(CDV_PROY_BT!H44,FDV!$B$4:$E$9,IF(CDV_PROY_BT!$N$10="3F",3,4),FALSE),VLOOKUP(CDV_PROY_BT!H44,FDV!$B$25:$E$30,IF(CDV_PROY_BT!$N$10="3F",3,4),FALSE)))))</f>
        <v/>
      </c>
      <c r="K44" s="63" t="str">
        <f t="shared" si="0"/>
        <v/>
      </c>
      <c r="L44" s="62" t="str">
        <f t="shared" si="2"/>
        <v/>
      </c>
      <c r="M44" s="62" t="str">
        <f t="shared" si="3"/>
        <v/>
      </c>
      <c r="N44" s="155"/>
      <c r="U44" s="138">
        <f t="shared" si="4"/>
        <v>0</v>
      </c>
      <c r="V44" s="138">
        <f t="shared" si="5"/>
        <v>0</v>
      </c>
    </row>
    <row r="45" spans="1:22" ht="15">
      <c r="A45" s="167"/>
      <c r="B45" s="168"/>
      <c r="C45" s="169"/>
      <c r="D45" s="169"/>
      <c r="E45" s="170"/>
      <c r="F45" s="58" t="str">
        <f>IF($N$8="","",IF($N$8="INDUSTRIAL",IF(OR($D$6="",$D$12=""),"",IF(OR(D45&gt;$D$13,E45&gt;$D$14),"Rev. Total. abona.",IF(D45="",IF(E45="","",E45/(0.9*1000)),IF(OR($D$6="SAN CRISTOBAL",$D$6="FLOREANA"),VLOOKUP(D45,'Estratos SCY - FLO'!$A$4:$M$108,IF($D$12="A1",2,IF($D$12="A",5,IF($D$12="B",8,11))))+E45/(0.92*1000),VLOOKUP(D45,'Estratos SCX - ISA'!$A$3:$M$107,IF($D$12="A1",2,IF($D$12="A",5,IF($D$12="B",8,11))))+E45/(0.92*1000))))),IF(OR($D$6="",$D$12=""),"",IF(OR(D45&gt;$D$13,E45&gt;$D$14),"Rev. Total. abona.",IF(D45="",IF(E45="","",E45/(0.92*1000)),IF(OR($D$6="SAN CRISTOBAL",$D$6="FLOREANA"),VLOOKUP(D45,'Estratos SCY - FLO'!$O$4:$S$108,IF($D$12="A1",2,IF($D$12="A",3,IF($D$12="B",4,5))))+E45/(0.92*1000),VLOOKUP(D45,'Estratos SCX - ISA'!$O$4:$S$108,IF($D$12="A1",2,IF($D$12="A",3,IF($D$12="B",4,5))))+E45/(0.92*1000)))))))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IF(OR(H45="",$D$10="",$N$10=""),"",IF($D$10="COBRE",VLOOKUP(CDV_PROY_BT!H45,FDV!$B$16:$E$24,IF(CDV_PROY_BT!$N$10="3F",3,4),FALSE),IF($D$10="ACS",VLOOKUP(CDV_PROY_BT!H45,FDV!$B$10:$E$15,IF(CDV_PROY_BT!$N$10="3F",3,4),FALSE),IF($D$10="5005 (PREENSAMBLADO)",VLOOKUP(CDV_PROY_BT!H45,FDV!$B$4:$E$9,IF(CDV_PROY_BT!$N$10="3F",3,4),FALSE),VLOOKUP(CDV_PROY_BT!H45,FDV!$B$25:$E$30,IF(CDV_PROY_BT!$N$10="3F",3,4),FALSE)))))</f>
        <v/>
      </c>
      <c r="K45" s="63" t="str">
        <f t="shared" si="0"/>
        <v/>
      </c>
      <c r="L45" s="62" t="str">
        <f t="shared" si="2"/>
        <v/>
      </c>
      <c r="M45" s="62" t="str">
        <f t="shared" si="3"/>
        <v/>
      </c>
      <c r="N45" s="155"/>
      <c r="U45" s="138">
        <f t="shared" si="4"/>
        <v>0</v>
      </c>
      <c r="V45" s="138">
        <f t="shared" si="5"/>
        <v>0</v>
      </c>
    </row>
    <row r="46" spans="1:22" ht="15">
      <c r="A46" s="167"/>
      <c r="B46" s="168"/>
      <c r="C46" s="169"/>
      <c r="D46" s="169"/>
      <c r="E46" s="170"/>
      <c r="F46" s="58" t="str">
        <f>IF($N$8="","",IF($N$8="INDUSTRIAL",IF(OR($D$6="",$D$12=""),"",IF(OR(D46&gt;$D$13,E46&gt;$D$14),"Rev. Total. abona.",IF(D46="",IF(E46="","",E46/(0.9*1000)),IF(OR($D$6="SAN CRISTOBAL",$D$6="FLOREANA"),VLOOKUP(D46,'Estratos SCY - FLO'!$A$4:$M$108,IF($D$12="A1",2,IF($D$12="A",5,IF($D$12="B",8,11))))+E46/(0.92*1000),VLOOKUP(D46,'Estratos SCX - ISA'!$A$3:$M$107,IF($D$12="A1",2,IF($D$12="A",5,IF($D$12="B",8,11))))+E46/(0.92*1000))))),IF(OR($D$6="",$D$12=""),"",IF(OR(D46&gt;$D$13,E46&gt;$D$14),"Rev. Total. abona.",IF(D46="",IF(E46="","",E46/(0.92*1000)),IF(OR($D$6="SAN CRISTOBAL",$D$6="FLOREANA"),VLOOKUP(D46,'Estratos SCY - FLO'!$O$4:$S$108,IF($D$12="A1",2,IF($D$12="A",3,IF($D$12="B",4,5))))+E46/(0.92*1000),VLOOKUP(D46,'Estratos SCX - ISA'!$O$4:$S$108,IF($D$12="A1",2,IF($D$12="A",3,IF($D$12="B",4,5))))+E46/(0.92*1000)))))))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IF(OR(H46="",$D$10="",$N$10=""),"",IF($D$10="COBRE",VLOOKUP(CDV_PROY_BT!H46,FDV!$B$16:$E$24,IF(CDV_PROY_BT!$N$10="3F",3,4),FALSE),IF($D$10="ACS",VLOOKUP(CDV_PROY_BT!H46,FDV!$B$10:$E$15,IF(CDV_PROY_BT!$N$10="3F",3,4),FALSE),IF($D$10="5005 (PREENSAMBLADO)",VLOOKUP(CDV_PROY_BT!H46,FDV!$B$4:$E$9,IF(CDV_PROY_BT!$N$10="3F",3,4),FALSE),VLOOKUP(CDV_PROY_BT!H46,FDV!$B$25:$E$30,IF(CDV_PROY_BT!$N$10="3F",3,4),FALSE)))))</f>
        <v/>
      </c>
      <c r="K46" s="63" t="str">
        <f t="shared" si="0"/>
        <v/>
      </c>
      <c r="L46" s="62" t="str">
        <f t="shared" si="2"/>
        <v/>
      </c>
      <c r="M46" s="62" t="str">
        <f t="shared" si="3"/>
        <v/>
      </c>
      <c r="N46" s="155"/>
      <c r="U46" s="138">
        <f t="shared" si="4"/>
        <v>0</v>
      </c>
      <c r="V46" s="138">
        <f t="shared" si="5"/>
        <v>0</v>
      </c>
    </row>
    <row r="47" spans="1:22" ht="15">
      <c r="A47" s="167"/>
      <c r="B47" s="168"/>
      <c r="C47" s="169"/>
      <c r="D47" s="169"/>
      <c r="E47" s="170"/>
      <c r="F47" s="58" t="str">
        <f>IF($N$8="","",IF($N$8="INDUSTRIAL",IF(OR($D$6="",$D$12=""),"",IF(OR(D47&gt;$D$13,E47&gt;$D$14),"Rev. Total. abona.",IF(D47="",IF(E47="","",E47/(0.9*1000)),IF(OR($D$6="SAN CRISTOBAL",$D$6="FLOREANA"),VLOOKUP(D47,'Estratos SCY - FLO'!$A$4:$M$108,IF($D$12="A1",2,IF($D$12="A",5,IF($D$12="B",8,11))))+E47/(0.92*1000),VLOOKUP(D47,'Estratos SCX - ISA'!$A$3:$M$107,IF($D$12="A1",2,IF($D$12="A",5,IF($D$12="B",8,11))))+E47/(0.92*1000))))),IF(OR($D$6="",$D$12=""),"",IF(OR(D47&gt;$D$13,E47&gt;$D$14),"Rev. Total. abona.",IF(D47="",IF(E47="","",E47/(0.92*1000)),IF(OR($D$6="SAN CRISTOBAL",$D$6="FLOREANA"),VLOOKUP(D47,'Estratos SCY - FLO'!$O$4:$S$108,IF($D$12="A1",2,IF($D$12="A",3,IF($D$12="B",4,5))))+E47/(0.92*1000),VLOOKUP(D47,'Estratos SCX - ISA'!$O$4:$S$108,IF($D$12="A1",2,IF($D$12="A",3,IF($D$12="B",4,5))))+E47/(0.92*1000)))))))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IF(OR(H47="",$D$10="",$N$10=""),"",IF($D$10="COBRE",VLOOKUP(CDV_PROY_BT!H47,FDV!$B$16:$E$24,IF(CDV_PROY_BT!$N$10="3F",3,4),FALSE),IF($D$10="ACS",VLOOKUP(CDV_PROY_BT!H47,FDV!$B$10:$E$15,IF(CDV_PROY_BT!$N$10="3F",3,4),FALSE),IF($D$10="5005 (PREENSAMBLADO)",VLOOKUP(CDV_PROY_BT!H47,FDV!$B$4:$E$9,IF(CDV_PROY_BT!$N$10="3F",3,4),FALSE),VLOOKUP(CDV_PROY_BT!H47,FDV!$B$25:$E$30,IF(CDV_PROY_BT!$N$10="3F",3,4),FALSE)))))</f>
        <v/>
      </c>
      <c r="K47" s="63" t="str">
        <f t="shared" si="0"/>
        <v/>
      </c>
      <c r="L47" s="62" t="str">
        <f t="shared" si="2"/>
        <v/>
      </c>
      <c r="M47" s="62" t="str">
        <f t="shared" si="3"/>
        <v/>
      </c>
      <c r="N47" s="155"/>
      <c r="U47" s="138">
        <f t="shared" si="4"/>
        <v>0</v>
      </c>
      <c r="V47" s="138">
        <f t="shared" si="5"/>
        <v>0</v>
      </c>
    </row>
    <row r="48" spans="1:22" ht="15">
      <c r="A48" s="167"/>
      <c r="B48" s="168"/>
      <c r="C48" s="169"/>
      <c r="D48" s="169"/>
      <c r="E48" s="170"/>
      <c r="F48" s="58" t="str">
        <f>IF($N$8="","",IF($N$8="INDUSTRIAL",IF(OR($D$6="",$D$12=""),"",IF(OR(D48&gt;$D$13,E48&gt;$D$14),"Rev. Total. abona.",IF(D48="",IF(E48="","",E48/(0.9*1000)),IF(OR($D$6="SAN CRISTOBAL",$D$6="FLOREANA"),VLOOKUP(D48,'Estratos SCY - FLO'!$A$4:$M$108,IF($D$12="A1",2,IF($D$12="A",5,IF($D$12="B",8,11))))+E48/(0.92*1000),VLOOKUP(D48,'Estratos SCX - ISA'!$A$3:$M$107,IF($D$12="A1",2,IF($D$12="A",5,IF($D$12="B",8,11))))+E48/(0.92*1000))))),IF(OR($D$6="",$D$12=""),"",IF(OR(D48&gt;$D$13,E48&gt;$D$14),"Rev. Total. abona.",IF(D48="",IF(E48="","",E48/(0.92*1000)),IF(OR($D$6="SAN CRISTOBAL",$D$6="FLOREANA"),VLOOKUP(D48,'Estratos SCY - FLO'!$O$4:$S$108,IF($D$12="A1",2,IF($D$12="A",3,IF($D$12="B",4,5))))+E48/(0.92*1000),VLOOKUP(D48,'Estratos SCX - ISA'!$O$4:$S$108,IF($D$12="A1",2,IF($D$12="A",3,IF($D$12="B",4,5))))+E48/(0.92*1000)))))))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IF(OR(H48="",$D$10="",$N$10=""),"",IF($D$10="COBRE",VLOOKUP(CDV_PROY_BT!H48,FDV!$B$16:$E$24,IF(CDV_PROY_BT!$N$10="3F",3,4),FALSE),IF($D$10="ACS",VLOOKUP(CDV_PROY_BT!H48,FDV!$B$10:$E$15,IF(CDV_PROY_BT!$N$10="3F",3,4),FALSE),IF($D$10="5005 (PREENSAMBLADO)",VLOOKUP(CDV_PROY_BT!H48,FDV!$B$4:$E$9,IF(CDV_PROY_BT!$N$10="3F",3,4),FALSE),VLOOKUP(CDV_PROY_BT!H48,FDV!$B$25:$E$30,IF(CDV_PROY_BT!$N$10="3F",3,4),FALSE)))))</f>
        <v/>
      </c>
      <c r="K48" s="63" t="str">
        <f t="shared" si="0"/>
        <v/>
      </c>
      <c r="L48" s="62" t="str">
        <f t="shared" si="2"/>
        <v/>
      </c>
      <c r="M48" s="62" t="str">
        <f t="shared" si="3"/>
        <v/>
      </c>
      <c r="N48" s="156"/>
      <c r="U48" s="138">
        <f t="shared" si="4"/>
        <v>0</v>
      </c>
      <c r="V48" s="138">
        <f t="shared" si="5"/>
        <v>0</v>
      </c>
    </row>
    <row r="49" spans="1:22" ht="15.75" thickBot="1">
      <c r="A49" s="178"/>
      <c r="B49" s="179"/>
      <c r="C49" s="180"/>
      <c r="D49" s="180"/>
      <c r="E49" s="181"/>
      <c r="F49" s="68" t="str">
        <f>IF($N$8="","",IF($N$8="INDUSTRIAL",IF(OR($D$6="",$D$12=""),"",IF(OR(D49&gt;$D$13,E49&gt;$D$14),"Rev. Total. abona.",IF(D49="",IF(E49="","",E49/(0.9*1000)),IF(OR($D$6="SAN CRISTOBAL",$D$6="FLOREANA"),VLOOKUP(D49,'Estratos SCY - FLO'!$A$4:$M$108,IF($D$12="A1",2,IF($D$12="A",5,IF($D$12="B",8,11))))+E49/(0.92*1000),VLOOKUP(D49,'Estratos SCX - ISA'!$A$3:$M$107,IF($D$12="A1",2,IF($D$12="A",5,IF($D$12="B",8,11))))+E49/(0.92*1000))))),IF(OR($D$6="",$D$12=""),"",IF(OR(D49&gt;$D$13,E49&gt;$D$14),"Rev. Total. abona.",IF(D49="",IF(E49="","",E49/(0.92*1000)),IF(OR($D$6="SAN CRISTOBAL",$D$6="FLOREANA"),VLOOKUP(D49,'Estratos SCY - FLO'!$O$4:$S$108,IF($D$12="A1",2,IF($D$12="A",3,IF($D$12="B",4,5))))+E49/(0.92*1000),VLOOKUP(D49,'Estratos SCX - ISA'!$O$4:$S$108,IF($D$12="A1",2,IF($D$12="A",3,IF($D$12="B",4,5))))+E49/(0.92*1000)))))))</f>
        <v/>
      </c>
      <c r="G49" s="69" t="str">
        <f t="shared" si="1"/>
        <v/>
      </c>
      <c r="H49" s="184"/>
      <c r="I49" s="184"/>
      <c r="J49" s="69" t="str">
        <f>IF(OR(H49="",$D$10="",$N$10=""),"",IF($D$10="COBRE",VLOOKUP(CDV_PROY_BT!H49,FDV!$B$16:$E$24,IF(CDV_PROY_BT!$N$10="3F",3,4),FALSE),IF($D$10="ACS",VLOOKUP(CDV_PROY_BT!H49,FDV!$B$10:$E$15,IF(CDV_PROY_BT!$N$10="3F",3,4),FALSE),IF($D$10="5005 (PREENSAMBLADO)",VLOOKUP(CDV_PROY_BT!H49,FDV!$B$4:$E$9,IF(CDV_PROY_BT!$N$10="3F",3,4),FALSE),VLOOKUP(CDV_PROY_BT!H49,FDV!$B$25:$E$30,IF(CDV_PROY_BT!$N$10="3F",3,4),FALSE)))))</f>
        <v/>
      </c>
      <c r="K49" s="65" t="str">
        <f t="shared" si="0"/>
        <v/>
      </c>
      <c r="L49" s="64" t="str">
        <f t="shared" si="2"/>
        <v/>
      </c>
      <c r="M49" s="64" t="str">
        <f t="shared" si="3"/>
        <v/>
      </c>
      <c r="N49" s="157"/>
      <c r="U49" s="138">
        <f t="shared" si="4"/>
        <v>0</v>
      </c>
      <c r="V49" s="138">
        <f t="shared" si="5"/>
        <v>0</v>
      </c>
    </row>
    <row r="50" spans="1:22" ht="15.75" hidden="1" thickBot="1">
      <c r="A50" s="143"/>
      <c r="B50" s="67" t="str">
        <f>IF(N19="","",N19)</f>
        <v>P5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 t="shared" si="1"/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IF(OR(H50="",$D$10="",$N$10=""),"",IF($D$10="COBRE",VLOOKUP(CDV_PROY_BT!H50,FDV!$B$16:$E$24,IF(CDV_PROY_BT!$N$10="3F",3,4),FALSE),IF($D$10="ACS",VLOOKUP(CDV_PROY_BT!H50,FDV!$B$10:$E$15,IF(CDV_PROY_BT!$N$10="3F",3,4),FALSE),IF($D$10="5005 (PREENSAMBLADO)",VLOOKUP(CDV_PROY_BT!H50,FDV!$B$4:$E$9,IF(CDV_PROY_BT!$N$10="3F",3,4),FALSE),VLOOKUP(CDV_PROY_BT!H50,FDV!$B$25:$E$30,IF(CDV_PROY_BT!$N$10="3F",3,4),FALSE)))))</f>
        <v>#VALUE!</v>
      </c>
      <c r="K50" s="71" t="str">
        <f t="shared" si="0"/>
        <v/>
      </c>
      <c r="L50" s="68" t="str">
        <f aca="true" t="shared" si="6" ref="L50">IF(C50="","",ROUND(K50/J50,2))</f>
        <v/>
      </c>
      <c r="M50" s="72">
        <v>0</v>
      </c>
      <c r="N50" s="66"/>
      <c r="U50" s="138">
        <f aca="true" t="shared" si="7" ref="U50:U51">+IF(D50&gt;0,C50,0)</f>
        <v>0</v>
      </c>
      <c r="V50" s="138">
        <f aca="true" t="shared" si="8" ref="V50:V51">IF(C50="",0,C50*G50)</f>
        <v>0</v>
      </c>
    </row>
    <row r="51" spans="1:22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65"/>
      <c r="U51" s="138">
        <f t="shared" si="7"/>
        <v>0</v>
      </c>
      <c r="V51" s="138">
        <f t="shared" si="8"/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145</v>
      </c>
      <c r="K52" s="147"/>
      <c r="L52" s="91"/>
      <c r="M52" s="92"/>
      <c r="N52" s="266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66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145</v>
      </c>
      <c r="L54" s="91"/>
      <c r="M54" s="92"/>
      <c r="N54" s="266"/>
    </row>
    <row r="55" spans="1:14" ht="15.75" thickBot="1">
      <c r="A55" s="269" t="s">
        <v>122</v>
      </c>
      <c r="B55" s="269"/>
      <c r="C55" s="269"/>
      <c r="D55" s="21">
        <f>IF(N10="","",SUM(C23:C49))</f>
        <v>143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  <c r="N56" s="84" t="s">
        <v>61</v>
      </c>
    </row>
    <row r="57" spans="1:14" ht="15.75" thickBot="1">
      <c r="A57" s="148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85">
        <f>MAX(N23:N49)</f>
        <v>0.73</v>
      </c>
    </row>
  </sheetData>
  <mergeCells count="26">
    <mergeCell ref="U21:U22"/>
    <mergeCell ref="V21:V22"/>
    <mergeCell ref="B56:M56"/>
    <mergeCell ref="N51:N54"/>
    <mergeCell ref="B57:M57"/>
    <mergeCell ref="A55:C55"/>
    <mergeCell ref="L21:N21"/>
    <mergeCell ref="D10:E10"/>
    <mergeCell ref="K21:K22"/>
    <mergeCell ref="A21:B21"/>
    <mergeCell ref="D6:E6"/>
    <mergeCell ref="D8:F8"/>
    <mergeCell ref="M6:N6"/>
    <mergeCell ref="H6:J6"/>
    <mergeCell ref="F6:G6"/>
    <mergeCell ref="G21:J21"/>
    <mergeCell ref="K6:L6"/>
    <mergeCell ref="A15:J15"/>
    <mergeCell ref="R14:T14"/>
    <mergeCell ref="R15:R16"/>
    <mergeCell ref="R17:R18"/>
    <mergeCell ref="I8:J8"/>
    <mergeCell ref="A2:N2"/>
    <mergeCell ref="A4:N4"/>
    <mergeCell ref="H13:J13"/>
    <mergeCell ref="H14:J14"/>
  </mergeCells>
  <conditionalFormatting sqref="N42:N50 N23:N40">
    <cfRule type="expression" priority="66" dxfId="0" stopIfTrue="1">
      <formula>$X22&gt;0</formula>
    </cfRule>
  </conditionalFormatting>
  <conditionalFormatting sqref="D8">
    <cfRule type="cellIs" priority="67" dxfId="2" operator="equal" stopIfTrue="1">
      <formula>""""""</formula>
    </cfRule>
  </conditionalFormatting>
  <conditionalFormatting sqref="N41">
    <cfRule type="expression" priority="70" dxfId="0" stopIfTrue="1">
      <formula>#REF!&gt;0</formula>
    </cfRule>
  </conditionalFormatting>
  <conditionalFormatting sqref="N1 D6 H6 M6 D8 D10 D12 D13 D14 H13 H14 N10 N12 N19 H13">
    <cfRule type="containsBlanks" priority="73" dxfId="7" stopIfTrue="1">
      <formula>LEN(TRIM(D1))=0</formula>
    </cfRule>
  </conditionalFormatting>
  <conditionalFormatting sqref="N18">
    <cfRule type="containsBlanks" priority="25" dxfId="7" stopIfTrue="1">
      <formula>LEN(TRIM(N18))=0</formula>
    </cfRule>
  </conditionalFormatting>
  <conditionalFormatting sqref="N57">
    <cfRule type="cellIs" priority="17" dxfId="12" operator="greaterThan">
      <formula>$T$16</formula>
    </cfRule>
  </conditionalFormatting>
  <dataValidations count="8">
    <dataValidation type="list" allowBlank="1" showInputMessage="1" showErrorMessage="1" sqref="N10">
      <formula1>$AB$5:$AB$6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2">
      <formula1>$AA$5:$AA$8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H23:I49">
      <formula1>$AC$5:$AC$9</formula1>
    </dataValidation>
    <dataValidation type="list" allowBlank="1" showInputMessage="1" showErrorMessage="1" sqref="N8">
      <formula1>$AD$5:$AD$7</formula1>
    </dataValidation>
    <dataValidation type="list" allowBlank="1" showInputMessage="1" showErrorMessage="1" sqref="N11">
      <formula1>$AE$5:$AE$9</formula1>
    </dataValidation>
  </dataValidations>
  <printOptions/>
  <pageMargins left="0.7" right="0.7" top="0.75" bottom="0.75" header="0.3" footer="0.3"/>
  <pageSetup horizontalDpi="600" verticalDpi="600" orientation="portrait" scale="61" r:id="rId4"/>
  <colBreaks count="1" manualBreakCount="1">
    <brk id="14" max="1638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tabSelected="1" zoomScale="85" zoomScaleNormal="85" zoomScalePageLayoutView="55" workbookViewId="0" topLeftCell="A1">
      <selection activeCell="AJ15" sqref="AJ15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4" width="7.7109375" style="138" customWidth="1"/>
    <col min="5" max="5" width="11.421875" style="138" customWidth="1"/>
    <col min="6" max="6" width="3.140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3.421875" style="138" hidden="1" customWidth="1"/>
    <col min="17" max="17" width="15.421875" style="138" hidden="1" customWidth="1"/>
    <col min="18" max="18" width="18.140625" style="138" hidden="1" customWidth="1"/>
    <col min="19" max="19" width="11.8515625" style="138" bestFit="1" customWidth="1"/>
    <col min="20" max="32" width="11.421875" style="138" hidden="1" customWidth="1"/>
    <col min="33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61" t="s">
        <v>173</v>
      </c>
    </row>
    <row r="2" spans="1:14" ht="18">
      <c r="A2" s="235" t="s">
        <v>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8">
      <c r="A3" s="195"/>
      <c r="B3" s="195"/>
      <c r="C3" s="195"/>
      <c r="D3" s="195"/>
      <c r="E3" s="195"/>
      <c r="F3" s="22" t="s">
        <v>172</v>
      </c>
      <c r="G3" s="195"/>
      <c r="H3" s="195"/>
      <c r="I3" s="195"/>
      <c r="J3" s="195"/>
      <c r="K3" s="195"/>
      <c r="L3" s="195"/>
      <c r="M3" s="195"/>
      <c r="N3" s="87"/>
    </row>
    <row r="4" spans="1:31" ht="15.75">
      <c r="A4" s="236" t="s">
        <v>146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U4" s="138" t="s">
        <v>63</v>
      </c>
      <c r="W4" s="138" t="s">
        <v>24</v>
      </c>
      <c r="Y4" s="138" t="s">
        <v>69</v>
      </c>
      <c r="AA4" s="138" t="s">
        <v>72</v>
      </c>
      <c r="AB4" s="138" t="s">
        <v>77</v>
      </c>
      <c r="AC4" s="138" t="s">
        <v>79</v>
      </c>
      <c r="AD4" s="138" t="s">
        <v>133</v>
      </c>
      <c r="AE4" s="138" t="s">
        <v>139</v>
      </c>
    </row>
    <row r="5" spans="1:31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U5" s="138" t="s">
        <v>64</v>
      </c>
      <c r="W5" s="138" t="s">
        <v>82</v>
      </c>
      <c r="Y5" s="138" t="s">
        <v>70</v>
      </c>
      <c r="AA5" s="138" t="s">
        <v>73</v>
      </c>
      <c r="AB5" s="138" t="s">
        <v>29</v>
      </c>
      <c r="AC5" s="139">
        <v>2</v>
      </c>
      <c r="AD5" s="138" t="s">
        <v>134</v>
      </c>
      <c r="AE5" s="138">
        <v>0.65</v>
      </c>
    </row>
    <row r="6" spans="1:31" ht="15.75" thickBot="1">
      <c r="A6" s="25" t="s">
        <v>23</v>
      </c>
      <c r="B6" s="26"/>
      <c r="C6" s="88"/>
      <c r="D6" s="249" t="s">
        <v>64</v>
      </c>
      <c r="E6" s="250"/>
      <c r="F6" s="289" t="s">
        <v>152</v>
      </c>
      <c r="G6" s="290"/>
      <c r="H6" s="253" t="s">
        <v>166</v>
      </c>
      <c r="I6" s="254"/>
      <c r="J6" s="255"/>
      <c r="K6" s="258" t="s">
        <v>81</v>
      </c>
      <c r="L6" s="259"/>
      <c r="M6" s="251" t="s">
        <v>171</v>
      </c>
      <c r="N6" s="252"/>
      <c r="Q6" s="194"/>
      <c r="R6" s="194"/>
      <c r="U6" s="138" t="s">
        <v>65</v>
      </c>
      <c r="W6" s="138" t="s">
        <v>83</v>
      </c>
      <c r="Y6" s="138" t="s">
        <v>7</v>
      </c>
      <c r="AA6" s="138" t="s">
        <v>76</v>
      </c>
      <c r="AB6" s="138" t="s">
        <v>78</v>
      </c>
      <c r="AC6" s="139" t="s">
        <v>0</v>
      </c>
      <c r="AD6" s="138" t="s">
        <v>135</v>
      </c>
      <c r="AE6" s="138">
        <v>0.7</v>
      </c>
    </row>
    <row r="7" spans="1:31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U7" s="138" t="s">
        <v>66</v>
      </c>
      <c r="W7" s="138" t="s">
        <v>68</v>
      </c>
      <c r="Y7" s="138" t="s">
        <v>27</v>
      </c>
      <c r="AA7" s="138" t="s">
        <v>74</v>
      </c>
      <c r="AC7" s="139" t="s">
        <v>1</v>
      </c>
      <c r="AD7" s="138" t="s">
        <v>136</v>
      </c>
      <c r="AE7" s="138">
        <v>0.8</v>
      </c>
    </row>
    <row r="8" spans="1:31" ht="15.75" thickBot="1">
      <c r="A8" s="25" t="s">
        <v>24</v>
      </c>
      <c r="B8" s="26"/>
      <c r="C8" s="26"/>
      <c r="D8" s="249" t="s">
        <v>68</v>
      </c>
      <c r="E8" s="248"/>
      <c r="F8" s="250"/>
      <c r="G8" s="25"/>
      <c r="H8" s="29"/>
      <c r="I8" s="29"/>
      <c r="J8" s="26"/>
      <c r="K8" s="26"/>
      <c r="L8" s="26"/>
      <c r="M8" s="26"/>
      <c r="N8" s="208"/>
      <c r="U8" s="138" t="s">
        <v>67</v>
      </c>
      <c r="Y8" s="138" t="s">
        <v>9</v>
      </c>
      <c r="AA8" s="138" t="s">
        <v>75</v>
      </c>
      <c r="AC8" s="139" t="s">
        <v>2</v>
      </c>
      <c r="AE8" s="138">
        <v>0.9</v>
      </c>
    </row>
    <row r="9" spans="1:31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04"/>
      <c r="M9" s="23"/>
      <c r="N9" s="209"/>
      <c r="AC9" s="141" t="s">
        <v>3</v>
      </c>
      <c r="AE9" s="138">
        <v>1</v>
      </c>
    </row>
    <row r="10" spans="1:24" ht="16.5" customHeight="1" thickBot="1">
      <c r="A10" s="30" t="s">
        <v>26</v>
      </c>
      <c r="B10" s="18"/>
      <c r="C10" s="23"/>
      <c r="D10" s="243" t="s">
        <v>9</v>
      </c>
      <c r="E10" s="288"/>
      <c r="F10" s="288"/>
      <c r="G10" s="244"/>
      <c r="H10" s="18"/>
      <c r="I10" s="18"/>
      <c r="J10" s="18"/>
      <c r="K10" s="23"/>
      <c r="L10" s="219" t="s">
        <v>148</v>
      </c>
      <c r="M10" s="18"/>
      <c r="N10" s="162" t="s">
        <v>29</v>
      </c>
      <c r="U10" s="138" t="s">
        <v>64</v>
      </c>
      <c r="W10" s="138" t="s">
        <v>29</v>
      </c>
      <c r="X10" s="138" t="s">
        <v>78</v>
      </c>
    </row>
    <row r="11" spans="1:24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5" t="s">
        <v>145</v>
      </c>
      <c r="L11" s="29"/>
      <c r="M11" s="216"/>
      <c r="N11" s="205" t="str">
        <f>IF(N10="","",IF(N10="3F","13.8 KV","7.97 kV"))</f>
        <v>7.97 kV</v>
      </c>
      <c r="U11" s="138" t="s">
        <v>84</v>
      </c>
      <c r="W11" s="138">
        <v>10</v>
      </c>
      <c r="X11" s="138">
        <v>30</v>
      </c>
    </row>
    <row r="12" spans="1:24" ht="15.75" thickBot="1">
      <c r="A12" s="36" t="s">
        <v>147</v>
      </c>
      <c r="B12" s="37"/>
      <c r="C12" s="37"/>
      <c r="D12" s="150">
        <v>1</v>
      </c>
      <c r="E12" s="38"/>
      <c r="F12" s="39"/>
      <c r="G12" s="39"/>
      <c r="H12" s="39"/>
      <c r="I12" s="39"/>
      <c r="J12" s="37"/>
      <c r="K12" s="25" t="s">
        <v>149</v>
      </c>
      <c r="L12" s="26"/>
      <c r="M12" s="217"/>
      <c r="N12" s="218">
        <v>10</v>
      </c>
      <c r="U12" s="138" t="s">
        <v>85</v>
      </c>
      <c r="W12" s="138">
        <v>15</v>
      </c>
      <c r="X12" s="138">
        <v>50</v>
      </c>
    </row>
    <row r="13" spans="1:24" ht="15.75" thickBot="1">
      <c r="A13" s="41" t="s">
        <v>31</v>
      </c>
      <c r="B13" s="21"/>
      <c r="C13" s="21"/>
      <c r="D13" s="150">
        <v>1</v>
      </c>
      <c r="E13" s="21"/>
      <c r="F13" s="28"/>
      <c r="G13" s="42" t="s">
        <v>32</v>
      </c>
      <c r="H13" s="280" t="s">
        <v>165</v>
      </c>
      <c r="I13" s="281"/>
      <c r="J13" s="282"/>
      <c r="K13" s="212"/>
      <c r="L13" s="21"/>
      <c r="M13" s="210"/>
      <c r="N13" s="213"/>
      <c r="U13" s="138" t="s">
        <v>86</v>
      </c>
      <c r="W13" s="138">
        <v>25</v>
      </c>
      <c r="X13" s="138">
        <v>75</v>
      </c>
    </row>
    <row r="14" spans="1:24" ht="15.75" thickBot="1">
      <c r="A14" s="41" t="s">
        <v>34</v>
      </c>
      <c r="B14" s="21"/>
      <c r="C14" s="21"/>
      <c r="D14" s="162">
        <v>220</v>
      </c>
      <c r="E14" s="41"/>
      <c r="F14" s="28"/>
      <c r="G14" s="42" t="s">
        <v>35</v>
      </c>
      <c r="H14" s="283">
        <v>43598</v>
      </c>
      <c r="I14" s="284"/>
      <c r="J14" s="285"/>
      <c r="K14" s="41"/>
      <c r="L14" s="21"/>
      <c r="M14" s="210"/>
      <c r="N14" s="214" t="str">
        <f>IF($N$8="","",IF($N$8="INDUSTRIAL",IF(OR(D6="",D12="",D13=""),"",(IF(OR(D6="SAN CRISTOBAL",D6="FLOREANA"),VLOOKUP(D13,'Estratos SCY - FLO'!$A$4:$M$108,IF(D12="A1",2,IF(D12="A",5,IF(D12="B",8,11))),0),VLOOKUP(D13,'Estratos SCX - ISA'!$A$4:$M$108,IF(D12="A1",2,IF(D12="A",5,IF(D12="B",8,11))),0))+D14/920)*N11),IF(OR(D6="",D12="",D13=""),"",(IF(OR(D6="SAN CRISTOBAL",D6="FLOREANA"),VLOOKUP(D13,'Estratos SCY - FLO'!$O$4:$S$108,IF(D12="A1",2,IF(D12="A",3,IF(D12="B",4,5))),0),VLOOKUP(D13,'Estratos SCX - ISA'!$O$4:$S$108,IF(D12="A1",2,IF(D12="A",3,IF(D12="B",4,5))),0))+D14/920)*N11)))</f>
        <v/>
      </c>
      <c r="U14" s="138" t="s">
        <v>87</v>
      </c>
      <c r="W14" s="138">
        <v>37.5</v>
      </c>
      <c r="X14" s="138">
        <v>100</v>
      </c>
    </row>
    <row r="15" spans="1:24" ht="33.75" customHeight="1" thickBo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44"/>
      <c r="L15" s="34"/>
      <c r="M15" s="211"/>
      <c r="N15" s="215" t="str">
        <f>IF(OR(N10="",N11="",N11=0),"",IF(N10="1F",IF(N14&lt;$W$11,$W$11,IF(AND(N14&gt;$W$11,N14&lt;$W$12),$W$12,IF(AND(N14&gt;$W$12,N14&lt;$W$13),$W$13,IF(AND(N14&gt;$W$13,N14&lt;$W$14),$W$14,IF(AND(N14&gt;$W$14,N14&lt;$W$15),$W$15,IF(AND(N14&gt;$W$15,N14&lt;$W$16),$W$16,IF(AND(N14&gt;$W$16,N14&lt;$W$17),$W$17,IF(AND(N14&gt;$W$17,N14&lt;$W$18),$W$18,IF(AND(N14&gt;$W$18,N14&lt;$W$19),$W$19,""))))))))),IF($N$14&lt;$X$11,$X$11,IF(AND(N14&gt;$X$11,N14&lt;$X$12),$X$12,IF(AND(N14&gt;$X$12,N14&lt;$X$13),$X$13,IF(AND(N14&gt;$X$13,N14&lt;$X$14),$X$14,IF(AND(N14&gt;$X$14,N14&lt;$X$15),$X$15,IF(AND(N14&gt;$X$15,N14&lt;$X$16),$X$16,IF(AND(N14&gt;$X$16,N14&lt;$X$17),$X$17,"")))))))))</f>
        <v/>
      </c>
      <c r="U15" s="138" t="s">
        <v>88</v>
      </c>
      <c r="W15" s="138">
        <v>50</v>
      </c>
      <c r="X15" s="138">
        <v>125</v>
      </c>
    </row>
    <row r="16" spans="1:24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U16" s="138" t="s">
        <v>89</v>
      </c>
      <c r="W16" s="138">
        <v>75</v>
      </c>
      <c r="X16" s="138">
        <v>150</v>
      </c>
    </row>
    <row r="17" spans="1:24" ht="19.5" thickBot="1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U17" s="138" t="s">
        <v>90</v>
      </c>
      <c r="W17" s="138">
        <v>100</v>
      </c>
      <c r="X17" s="138">
        <v>200</v>
      </c>
    </row>
    <row r="18" spans="1:23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 t="s">
        <v>153</v>
      </c>
      <c r="L18" s="21"/>
      <c r="M18" s="21"/>
      <c r="N18" s="163">
        <v>0</v>
      </c>
      <c r="U18" s="138" t="s">
        <v>91</v>
      </c>
      <c r="W18" s="138">
        <v>112.5</v>
      </c>
    </row>
    <row r="19" spans="1:23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151</v>
      </c>
      <c r="M19" s="142"/>
      <c r="N19" s="163" t="s">
        <v>128</v>
      </c>
      <c r="S19" s="139"/>
      <c r="W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2" ht="15.75" thickBot="1">
      <c r="A21" s="247" t="s">
        <v>38</v>
      </c>
      <c r="B21" s="242"/>
      <c r="C21" s="286" t="s">
        <v>39</v>
      </c>
      <c r="D21" s="287"/>
      <c r="E21" s="273" t="s">
        <v>42</v>
      </c>
      <c r="F21" s="274"/>
      <c r="G21" s="247" t="s">
        <v>43</v>
      </c>
      <c r="H21" s="241"/>
      <c r="I21" s="241"/>
      <c r="J21" s="242"/>
      <c r="K21" s="245" t="s">
        <v>154</v>
      </c>
      <c r="L21" s="241" t="s">
        <v>45</v>
      </c>
      <c r="M21" s="241"/>
      <c r="N21" s="242"/>
      <c r="U21" s="262" t="s">
        <v>98</v>
      </c>
      <c r="V21" s="262" t="s">
        <v>99</v>
      </c>
    </row>
    <row r="22" spans="1:22" ht="15.75" thickBot="1">
      <c r="A22" s="52" t="s">
        <v>46</v>
      </c>
      <c r="B22" s="52" t="s">
        <v>47</v>
      </c>
      <c r="C22" s="275" t="s">
        <v>48</v>
      </c>
      <c r="D22" s="276"/>
      <c r="E22" s="275" t="s">
        <v>150</v>
      </c>
      <c r="F22" s="276"/>
      <c r="G22" s="56" t="s">
        <v>52</v>
      </c>
      <c r="H22" s="43" t="s">
        <v>105</v>
      </c>
      <c r="I22" s="124" t="s">
        <v>106</v>
      </c>
      <c r="J22" s="43" t="s">
        <v>53</v>
      </c>
      <c r="K22" s="246"/>
      <c r="L22" s="53" t="s">
        <v>54</v>
      </c>
      <c r="M22" s="43" t="s">
        <v>55</v>
      </c>
      <c r="N22" s="57" t="s">
        <v>56</v>
      </c>
      <c r="P22" s="231" t="s">
        <v>162</v>
      </c>
      <c r="Q22" s="231"/>
      <c r="R22" s="231"/>
      <c r="U22" s="262"/>
      <c r="V22" s="262"/>
    </row>
    <row r="23" spans="1:22" ht="15">
      <c r="A23" s="191" t="s">
        <v>128</v>
      </c>
      <c r="B23" s="164" t="s">
        <v>167</v>
      </c>
      <c r="C23" s="291">
        <v>397</v>
      </c>
      <c r="D23" s="291"/>
      <c r="E23" s="292">
        <v>10</v>
      </c>
      <c r="F23" s="293"/>
      <c r="G23" s="95">
        <f aca="true" t="shared" si="0" ref="G23:G49">IF(OR($N$10="",C23=""),"",IF($N$10="1F",1,3))</f>
        <v>1</v>
      </c>
      <c r="H23" s="182">
        <v>2</v>
      </c>
      <c r="I23" s="182">
        <v>2</v>
      </c>
      <c r="J23" s="95">
        <f>IF(OR(H23="",$D$10="",$N$10=""),"",IF($D$10="COBRE",VLOOKUP(CDV_PROY_MT!H23,FDV!$H$16:$K$24,IF(CDV_PROY_MT!$N$10="3F",3,4),FALSE),IF($D$10="ACS",VLOOKUP(CDV_PROY_MT!H23,FDV!$H$10:$K$15,IF(CDV_PROY_MT!$N$10="3F",3,4),FALSE),IF($D$10="5005 (PREENSAMBLADO)",VLOOKUP(CDV_PROY_MT!H23,FDV!$H$4:$K$9,IF(CDV_PROY_MT!$N$10="3F",3,4),FALSE),VLOOKUP(CDV_PROY_MT!H23,FDV!$H$25:$K$30,IF(CDV_PROY_MT!$N$10="3F",3,4),FALSE)))))</f>
        <v>287</v>
      </c>
      <c r="K23" s="60">
        <f>IF(C23="","",ROUND(E23*C23/1000,0))</f>
        <v>4</v>
      </c>
      <c r="L23" s="61">
        <f aca="true" t="shared" si="1" ref="L23:L49">IF($N$19="","",IF(C23="","",ROUND(K23/J23,2)))</f>
        <v>0.01</v>
      </c>
      <c r="M23" s="61">
        <f>IF(C23="","",VLOOKUP(A23,$B$23:$N$50,12,FALSE)+L23+N18)</f>
        <v>0.01</v>
      </c>
      <c r="N23" s="154">
        <f>+M23</f>
        <v>0.01</v>
      </c>
      <c r="P23" s="232" t="s">
        <v>160</v>
      </c>
      <c r="Q23" s="220" t="s">
        <v>158</v>
      </c>
      <c r="R23" s="222">
        <v>3</v>
      </c>
      <c r="U23" s="138">
        <f aca="true" t="shared" si="2" ref="U23:U50">+IF(C23="",0,C23)</f>
        <v>397</v>
      </c>
      <c r="V23" s="138">
        <f aca="true" t="shared" si="3" ref="V23:V50">IF(OR(C23="",G23=""),0,C23*G23)</f>
        <v>397</v>
      </c>
    </row>
    <row r="24" spans="1:22" ht="15">
      <c r="A24" s="167"/>
      <c r="B24" s="168"/>
      <c r="C24" s="279"/>
      <c r="D24" s="279"/>
      <c r="E24" s="270"/>
      <c r="F24" s="271"/>
      <c r="G24" s="59" t="str">
        <f t="shared" si="0"/>
        <v/>
      </c>
      <c r="H24" s="183"/>
      <c r="I24" s="183"/>
      <c r="J24" s="59" t="str">
        <f>IF(OR(H24="",$D$10="",$N$10=""),"",IF($D$10="COBRE",VLOOKUP(CDV_PROY_MT!H24,FDV!$H$16:$K$24,IF(CDV_PROY_MT!$N$10="3F",3,4),FALSE),IF($D$10="ACS",VLOOKUP(CDV_PROY_MT!H24,FDV!$H$10:$K$15,IF(CDV_PROY_MT!$N$10="3F",3,4),FALSE),IF($D$10="5005 (PREENSAMBLADO)",VLOOKUP(CDV_PROY_MT!H24,FDV!$H$4:$K$9,IF(CDV_PROY_MT!$N$10="3F",3,4),FALSE),VLOOKUP(CDV_PROY_MT!H24,FDV!$H$25:$K$30,IF(CDV_PROY_MT!$N$10="3F",3,4),FALSE)))))</f>
        <v/>
      </c>
      <c r="K24" s="63" t="str">
        <f aca="true" t="shared" si="4" ref="K24:K49">IF(C24="","",ROUND(E24*C24/1000,0))</f>
        <v/>
      </c>
      <c r="L24" s="62" t="str">
        <f t="shared" si="1"/>
        <v/>
      </c>
      <c r="M24" s="62" t="str">
        <f aca="true" t="shared" si="5" ref="M24:M49">IF(C24="","",VLOOKUP(A24,$B$23:$N$50,12,FALSE)+L24)</f>
        <v/>
      </c>
      <c r="N24" s="155"/>
      <c r="P24" s="232"/>
      <c r="Q24" s="220" t="s">
        <v>159</v>
      </c>
      <c r="R24" s="222">
        <v>5</v>
      </c>
      <c r="U24" s="138">
        <f t="shared" si="2"/>
        <v>0</v>
      </c>
      <c r="V24" s="138">
        <f t="shared" si="3"/>
        <v>0</v>
      </c>
    </row>
    <row r="25" spans="1:22" ht="15">
      <c r="A25" s="167"/>
      <c r="B25" s="168"/>
      <c r="C25" s="279"/>
      <c r="D25" s="279"/>
      <c r="E25" s="270"/>
      <c r="F25" s="271"/>
      <c r="G25" s="59" t="str">
        <f t="shared" si="0"/>
        <v/>
      </c>
      <c r="H25" s="183"/>
      <c r="I25" s="183"/>
      <c r="J25" s="59" t="str">
        <f>IF(OR(H25="",$D$10="",$N$10=""),"",IF($D$10="COBRE",VLOOKUP(CDV_PROY_MT!H25,FDV!$H$16:$K$24,IF(CDV_PROY_MT!$N$10="3F",3,4),FALSE),IF($D$10="ACS",VLOOKUP(CDV_PROY_MT!H25,FDV!$H$10:$K$15,IF(CDV_PROY_MT!$N$10="3F",3,4),FALSE),IF($D$10="5005 (PREENSAMBLADO)",VLOOKUP(CDV_PROY_MT!H25,FDV!$H$4:$K$9,IF(CDV_PROY_MT!$N$10="3F",3,4),FALSE),VLOOKUP(CDV_PROY_MT!H25,FDV!$H$25:$K$30,IF(CDV_PROY_MT!$N$10="3F",3,4),FALSE)))))</f>
        <v/>
      </c>
      <c r="K25" s="63" t="str">
        <f t="shared" si="4"/>
        <v/>
      </c>
      <c r="L25" s="62" t="str">
        <f t="shared" si="1"/>
        <v/>
      </c>
      <c r="M25" s="62" t="str">
        <f t="shared" si="5"/>
        <v/>
      </c>
      <c r="N25" s="155"/>
      <c r="P25" s="232" t="s">
        <v>161</v>
      </c>
      <c r="Q25" s="220" t="s">
        <v>158</v>
      </c>
      <c r="R25" s="222">
        <v>3</v>
      </c>
      <c r="U25" s="138">
        <f t="shared" si="2"/>
        <v>0</v>
      </c>
      <c r="V25" s="138">
        <f t="shared" si="3"/>
        <v>0</v>
      </c>
    </row>
    <row r="26" spans="1:22" ht="15">
      <c r="A26" s="167"/>
      <c r="B26" s="168"/>
      <c r="C26" s="279"/>
      <c r="D26" s="279"/>
      <c r="E26" s="270"/>
      <c r="F26" s="271"/>
      <c r="G26" s="59" t="str">
        <f t="shared" si="0"/>
        <v/>
      </c>
      <c r="H26" s="183"/>
      <c r="I26" s="183"/>
      <c r="J26" s="59" t="str">
        <f>IF(OR(H26="",$D$10="",$N$10=""),"",IF($D$10="COBRE",VLOOKUP(CDV_PROY_MT!H26,FDV!$H$16:$K$24,IF(CDV_PROY_MT!$N$10="3F",3,4),FALSE),IF($D$10="ACS",VLOOKUP(CDV_PROY_MT!H26,FDV!$H$10:$K$15,IF(CDV_PROY_MT!$N$10="3F",3,4),FALSE),IF($D$10="5005 (PREENSAMBLADO)",VLOOKUP(CDV_PROY_MT!H26,FDV!$H$4:$K$9,IF(CDV_PROY_MT!$N$10="3F",3,4),FALSE),VLOOKUP(CDV_PROY_MT!H26,FDV!$H$25:$K$30,IF(CDV_PROY_MT!$N$10="3F",3,4),FALSE)))))</f>
        <v/>
      </c>
      <c r="K26" s="63" t="str">
        <f t="shared" si="4"/>
        <v/>
      </c>
      <c r="L26" s="62" t="str">
        <f t="shared" si="1"/>
        <v/>
      </c>
      <c r="M26" s="62" t="str">
        <f t="shared" si="5"/>
        <v/>
      </c>
      <c r="N26" s="155"/>
      <c r="P26" s="232"/>
      <c r="Q26" s="220" t="s">
        <v>159</v>
      </c>
      <c r="R26" s="222">
        <v>5</v>
      </c>
      <c r="U26" s="138">
        <f t="shared" si="2"/>
        <v>0</v>
      </c>
      <c r="V26" s="138">
        <f t="shared" si="3"/>
        <v>0</v>
      </c>
    </row>
    <row r="27" spans="1:22" ht="15">
      <c r="A27" s="167"/>
      <c r="B27" s="168"/>
      <c r="C27" s="279"/>
      <c r="D27" s="279"/>
      <c r="E27" s="270"/>
      <c r="F27" s="271"/>
      <c r="G27" s="59" t="str">
        <f t="shared" si="0"/>
        <v/>
      </c>
      <c r="H27" s="183"/>
      <c r="I27" s="183"/>
      <c r="J27" s="59" t="str">
        <f>IF(OR(H27="",$D$10="",$N$10=""),"",IF($D$10="COBRE",VLOOKUP(CDV_PROY_MT!H27,FDV!$H$16:$K$24,IF(CDV_PROY_MT!$N$10="3F",3,4),FALSE),IF($D$10="ACS",VLOOKUP(CDV_PROY_MT!H27,FDV!$H$10:$K$15,IF(CDV_PROY_MT!$N$10="3F",3,4),FALSE),IF($D$10="5005 (PREENSAMBLADO)",VLOOKUP(CDV_PROY_MT!H27,FDV!$H$4:$K$9,IF(CDV_PROY_MT!$N$10="3F",3,4),FALSE),VLOOKUP(CDV_PROY_MT!H27,FDV!$H$25:$K$30,IF(CDV_PROY_MT!$N$10="3F",3,4),FALSE)))))</f>
        <v/>
      </c>
      <c r="K27" s="63" t="str">
        <f t="shared" si="4"/>
        <v/>
      </c>
      <c r="L27" s="62" t="str">
        <f t="shared" si="1"/>
        <v/>
      </c>
      <c r="M27" s="62" t="str">
        <f t="shared" si="5"/>
        <v/>
      </c>
      <c r="N27" s="155"/>
      <c r="U27" s="138">
        <f t="shared" si="2"/>
        <v>0</v>
      </c>
      <c r="V27" s="138">
        <f t="shared" si="3"/>
        <v>0</v>
      </c>
    </row>
    <row r="28" spans="1:22" ht="15">
      <c r="A28" s="167"/>
      <c r="B28" s="168"/>
      <c r="C28" s="279"/>
      <c r="D28" s="279"/>
      <c r="E28" s="270"/>
      <c r="F28" s="271"/>
      <c r="G28" s="59" t="str">
        <f t="shared" si="0"/>
        <v/>
      </c>
      <c r="H28" s="183"/>
      <c r="I28" s="183"/>
      <c r="J28" s="59" t="str">
        <f>IF(OR(H28="",$D$10="",$N$10=""),"",IF($D$10="COBRE",VLOOKUP(CDV_PROY_MT!H28,FDV!$H$16:$K$24,IF(CDV_PROY_MT!$N$10="3F",3,4),FALSE),IF($D$10="ACS",VLOOKUP(CDV_PROY_MT!H28,FDV!$H$10:$K$15,IF(CDV_PROY_MT!$N$10="3F",3,4),FALSE),IF($D$10="5005 (PREENSAMBLADO)",VLOOKUP(CDV_PROY_MT!H28,FDV!$H$4:$K$9,IF(CDV_PROY_MT!$N$10="3F",3,4),FALSE),VLOOKUP(CDV_PROY_MT!H28,FDV!$H$25:$K$30,IF(CDV_PROY_MT!$N$10="3F",3,4),FALSE)))))</f>
        <v/>
      </c>
      <c r="K28" s="63" t="str">
        <f t="shared" si="4"/>
        <v/>
      </c>
      <c r="L28" s="62" t="str">
        <f t="shared" si="1"/>
        <v/>
      </c>
      <c r="M28" s="62" t="str">
        <f t="shared" si="5"/>
        <v/>
      </c>
      <c r="N28" s="155"/>
      <c r="U28" s="138">
        <f t="shared" si="2"/>
        <v>0</v>
      </c>
      <c r="V28" s="138">
        <f t="shared" si="3"/>
        <v>0</v>
      </c>
    </row>
    <row r="29" spans="1:22" ht="15">
      <c r="A29" s="167"/>
      <c r="B29" s="168"/>
      <c r="C29" s="279"/>
      <c r="D29" s="279"/>
      <c r="E29" s="270"/>
      <c r="F29" s="271"/>
      <c r="G29" s="59" t="str">
        <f t="shared" si="0"/>
        <v/>
      </c>
      <c r="H29" s="183"/>
      <c r="I29" s="183"/>
      <c r="J29" s="59" t="str">
        <f>IF(OR(H29="",$D$10="",$N$10=""),"",IF($D$10="COBRE",VLOOKUP(CDV_PROY_MT!H29,FDV!$H$16:$K$24,IF(CDV_PROY_MT!$N$10="3F",3,4),FALSE),IF($D$10="ACS",VLOOKUP(CDV_PROY_MT!H29,FDV!$H$10:$K$15,IF(CDV_PROY_MT!$N$10="3F",3,4),FALSE),IF($D$10="5005 (PREENSAMBLADO)",VLOOKUP(CDV_PROY_MT!H29,FDV!$H$4:$K$9,IF(CDV_PROY_MT!$N$10="3F",3,4),FALSE),VLOOKUP(CDV_PROY_MT!H29,FDV!$H$25:$K$30,IF(CDV_PROY_MT!$N$10="3F",3,4),FALSE)))))</f>
        <v/>
      </c>
      <c r="K29" s="63" t="str">
        <f t="shared" si="4"/>
        <v/>
      </c>
      <c r="L29" s="62" t="str">
        <f t="shared" si="1"/>
        <v/>
      </c>
      <c r="M29" s="62" t="str">
        <f t="shared" si="5"/>
        <v/>
      </c>
      <c r="N29" s="155"/>
      <c r="U29" s="138">
        <f t="shared" si="2"/>
        <v>0</v>
      </c>
      <c r="V29" s="138">
        <f t="shared" si="3"/>
        <v>0</v>
      </c>
    </row>
    <row r="30" spans="1:22" ht="15">
      <c r="A30" s="167"/>
      <c r="B30" s="168"/>
      <c r="C30" s="279"/>
      <c r="D30" s="279"/>
      <c r="E30" s="270"/>
      <c r="F30" s="271"/>
      <c r="G30" s="59" t="str">
        <f t="shared" si="0"/>
        <v/>
      </c>
      <c r="H30" s="183"/>
      <c r="I30" s="183"/>
      <c r="J30" s="59" t="str">
        <f>IF(OR(H30="",$D$10="",$N$10=""),"",IF($D$10="COBRE",VLOOKUP(CDV_PROY_MT!H30,FDV!$H$16:$K$24,IF(CDV_PROY_MT!$N$10="3F",3,4),FALSE),IF($D$10="ACS",VLOOKUP(CDV_PROY_MT!H30,FDV!$H$10:$K$15,IF(CDV_PROY_MT!$N$10="3F",3,4),FALSE),IF($D$10="5005 (PREENSAMBLADO)",VLOOKUP(CDV_PROY_MT!H30,FDV!$H$4:$K$9,IF(CDV_PROY_MT!$N$10="3F",3,4),FALSE),VLOOKUP(CDV_PROY_MT!H30,FDV!$H$25:$K$30,IF(CDV_PROY_MT!$N$10="3F",3,4),FALSE)))))</f>
        <v/>
      </c>
      <c r="K30" s="63" t="str">
        <f t="shared" si="4"/>
        <v/>
      </c>
      <c r="L30" s="62" t="str">
        <f t="shared" si="1"/>
        <v/>
      </c>
      <c r="M30" s="62" t="str">
        <f t="shared" si="5"/>
        <v/>
      </c>
      <c r="N30" s="155"/>
      <c r="U30" s="138">
        <f t="shared" si="2"/>
        <v>0</v>
      </c>
      <c r="V30" s="138">
        <f t="shared" si="3"/>
        <v>0</v>
      </c>
    </row>
    <row r="31" spans="1:22" ht="15">
      <c r="A31" s="171"/>
      <c r="B31" s="172"/>
      <c r="C31" s="279"/>
      <c r="D31" s="279"/>
      <c r="E31" s="270"/>
      <c r="F31" s="271"/>
      <c r="G31" s="59" t="str">
        <f t="shared" si="0"/>
        <v/>
      </c>
      <c r="H31" s="183"/>
      <c r="I31" s="183"/>
      <c r="J31" s="59" t="str">
        <f>IF(OR(H31="",$D$10="",$N$10=""),"",IF($D$10="COBRE",VLOOKUP(CDV_PROY_MT!H31,FDV!$H$16:$K$24,IF(CDV_PROY_MT!$N$10="3F",3,4),FALSE),IF($D$10="ACS",VLOOKUP(CDV_PROY_MT!H31,FDV!$H$10:$K$15,IF(CDV_PROY_MT!$N$10="3F",3,4),FALSE),IF($D$10="5005 (PREENSAMBLADO)",VLOOKUP(CDV_PROY_MT!H31,FDV!$H$4:$K$9,IF(CDV_PROY_MT!$N$10="3F",3,4),FALSE),VLOOKUP(CDV_PROY_MT!H31,FDV!$H$25:$K$30,IF(CDV_PROY_MT!$N$10="3F",3,4),FALSE)))))</f>
        <v/>
      </c>
      <c r="K31" s="63" t="str">
        <f t="shared" si="4"/>
        <v/>
      </c>
      <c r="L31" s="62" t="str">
        <f t="shared" si="1"/>
        <v/>
      </c>
      <c r="M31" s="62" t="str">
        <f t="shared" si="5"/>
        <v/>
      </c>
      <c r="N31" s="155"/>
      <c r="U31" s="138">
        <f t="shared" si="2"/>
        <v>0</v>
      </c>
      <c r="V31" s="138">
        <f t="shared" si="3"/>
        <v>0</v>
      </c>
    </row>
    <row r="32" spans="1:22" ht="15">
      <c r="A32" s="167"/>
      <c r="B32" s="168"/>
      <c r="C32" s="279"/>
      <c r="D32" s="279"/>
      <c r="E32" s="270"/>
      <c r="F32" s="271"/>
      <c r="G32" s="59" t="str">
        <f t="shared" si="0"/>
        <v/>
      </c>
      <c r="H32" s="183"/>
      <c r="I32" s="183"/>
      <c r="J32" s="59" t="str">
        <f>IF(OR(H32="",$D$10="",$N$10=""),"",IF($D$10="COBRE",VLOOKUP(CDV_PROY_MT!H32,FDV!$H$16:$K$24,IF(CDV_PROY_MT!$N$10="3F",3,4),FALSE),IF($D$10="ACS",VLOOKUP(CDV_PROY_MT!H32,FDV!$H$10:$K$15,IF(CDV_PROY_MT!$N$10="3F",3,4),FALSE),IF($D$10="5005 (PREENSAMBLADO)",VLOOKUP(CDV_PROY_MT!H32,FDV!$H$4:$K$9,IF(CDV_PROY_MT!$N$10="3F",3,4),FALSE),VLOOKUP(CDV_PROY_MT!H32,FDV!$H$25:$K$30,IF(CDV_PROY_MT!$N$10="3F",3,4),FALSE)))))</f>
        <v/>
      </c>
      <c r="K32" s="63" t="str">
        <f t="shared" si="4"/>
        <v/>
      </c>
      <c r="L32" s="62" t="str">
        <f t="shared" si="1"/>
        <v/>
      </c>
      <c r="M32" s="62" t="str">
        <f t="shared" si="5"/>
        <v/>
      </c>
      <c r="N32" s="155"/>
      <c r="U32" s="138">
        <f t="shared" si="2"/>
        <v>0</v>
      </c>
      <c r="V32" s="138">
        <f t="shared" si="3"/>
        <v>0</v>
      </c>
    </row>
    <row r="33" spans="1:22" ht="15">
      <c r="A33" s="175"/>
      <c r="B33" s="176"/>
      <c r="C33" s="279"/>
      <c r="D33" s="279"/>
      <c r="E33" s="270"/>
      <c r="F33" s="271"/>
      <c r="G33" s="59" t="str">
        <f t="shared" si="0"/>
        <v/>
      </c>
      <c r="H33" s="183"/>
      <c r="I33" s="183"/>
      <c r="J33" s="59" t="str">
        <f>IF(OR(H33="",$D$10="",$N$10=""),"",IF($D$10="COBRE",VLOOKUP(CDV_PROY_MT!H33,FDV!$H$16:$K$24,IF(CDV_PROY_MT!$N$10="3F",3,4),FALSE),IF($D$10="ACS",VLOOKUP(CDV_PROY_MT!H33,FDV!$H$10:$K$15,IF(CDV_PROY_MT!$N$10="3F",3,4),FALSE),IF($D$10="5005 (PREENSAMBLADO)",VLOOKUP(CDV_PROY_MT!H33,FDV!$H$4:$K$9,IF(CDV_PROY_MT!$N$10="3F",3,4),FALSE),VLOOKUP(CDV_PROY_MT!H33,FDV!$H$25:$K$30,IF(CDV_PROY_MT!$N$10="3F",3,4),FALSE)))))</f>
        <v/>
      </c>
      <c r="K33" s="63" t="str">
        <f t="shared" si="4"/>
        <v/>
      </c>
      <c r="L33" s="62" t="str">
        <f t="shared" si="1"/>
        <v/>
      </c>
      <c r="M33" s="62" t="str">
        <f t="shared" si="5"/>
        <v/>
      </c>
      <c r="N33" s="155"/>
      <c r="U33" s="138">
        <f t="shared" si="2"/>
        <v>0</v>
      </c>
      <c r="V33" s="138">
        <f t="shared" si="3"/>
        <v>0</v>
      </c>
    </row>
    <row r="34" spans="1:22" ht="15">
      <c r="A34" s="167"/>
      <c r="B34" s="168"/>
      <c r="C34" s="279"/>
      <c r="D34" s="279"/>
      <c r="E34" s="270"/>
      <c r="F34" s="271"/>
      <c r="G34" s="59" t="str">
        <f t="shared" si="0"/>
        <v/>
      </c>
      <c r="H34" s="183"/>
      <c r="I34" s="183"/>
      <c r="J34" s="59" t="str">
        <f>IF(OR(H34="",$D$10="",$N$10=""),"",IF($D$10="COBRE",VLOOKUP(CDV_PROY_MT!H34,FDV!$H$16:$K$24,IF(CDV_PROY_MT!$N$10="3F",3,4),FALSE),IF($D$10="ACS",VLOOKUP(CDV_PROY_MT!H34,FDV!$H$10:$K$15,IF(CDV_PROY_MT!$N$10="3F",3,4),FALSE),IF($D$10="5005 (PREENSAMBLADO)",VLOOKUP(CDV_PROY_MT!H34,FDV!$H$4:$K$9,IF(CDV_PROY_MT!$N$10="3F",3,4),FALSE),VLOOKUP(CDV_PROY_MT!H34,FDV!$H$25:$K$30,IF(CDV_PROY_MT!$N$10="3F",3,4),FALSE)))))</f>
        <v/>
      </c>
      <c r="K34" s="63" t="str">
        <f t="shared" si="4"/>
        <v/>
      </c>
      <c r="L34" s="62" t="str">
        <f t="shared" si="1"/>
        <v/>
      </c>
      <c r="M34" s="62" t="str">
        <f t="shared" si="5"/>
        <v/>
      </c>
      <c r="N34" s="155"/>
      <c r="U34" s="138">
        <f t="shared" si="2"/>
        <v>0</v>
      </c>
      <c r="V34" s="138">
        <f t="shared" si="3"/>
        <v>0</v>
      </c>
    </row>
    <row r="35" spans="1:22" ht="15">
      <c r="A35" s="167"/>
      <c r="B35" s="168"/>
      <c r="C35" s="279"/>
      <c r="D35" s="279"/>
      <c r="E35" s="270"/>
      <c r="F35" s="271"/>
      <c r="G35" s="59" t="str">
        <f t="shared" si="0"/>
        <v/>
      </c>
      <c r="H35" s="183"/>
      <c r="I35" s="183"/>
      <c r="J35" s="59" t="str">
        <f>IF(OR(H35="",$D$10="",$N$10=""),"",IF($D$10="COBRE",VLOOKUP(CDV_PROY_MT!H35,FDV!$H$16:$K$24,IF(CDV_PROY_MT!$N$10="3F",3,4),FALSE),IF($D$10="ACS",VLOOKUP(CDV_PROY_MT!H35,FDV!$H$10:$K$15,IF(CDV_PROY_MT!$N$10="3F",3,4),FALSE),IF($D$10="5005 (PREENSAMBLADO)",VLOOKUP(CDV_PROY_MT!H35,FDV!$H$4:$K$9,IF(CDV_PROY_MT!$N$10="3F",3,4),FALSE),VLOOKUP(CDV_PROY_MT!H35,FDV!$H$25:$K$30,IF(CDV_PROY_MT!$N$10="3F",3,4),FALSE)))))</f>
        <v/>
      </c>
      <c r="K35" s="63" t="str">
        <f t="shared" si="4"/>
        <v/>
      </c>
      <c r="L35" s="62" t="str">
        <f t="shared" si="1"/>
        <v/>
      </c>
      <c r="M35" s="62" t="str">
        <f t="shared" si="5"/>
        <v/>
      </c>
      <c r="N35" s="155"/>
      <c r="U35" s="138">
        <f t="shared" si="2"/>
        <v>0</v>
      </c>
      <c r="V35" s="138">
        <f t="shared" si="3"/>
        <v>0</v>
      </c>
    </row>
    <row r="36" spans="1:22" ht="15">
      <c r="A36" s="167"/>
      <c r="B36" s="168"/>
      <c r="C36" s="279"/>
      <c r="D36" s="279"/>
      <c r="E36" s="270"/>
      <c r="F36" s="271"/>
      <c r="G36" s="59" t="str">
        <f t="shared" si="0"/>
        <v/>
      </c>
      <c r="H36" s="183"/>
      <c r="I36" s="183"/>
      <c r="J36" s="59" t="str">
        <f>IF(OR(H36="",$D$10="",$N$10=""),"",IF($D$10="COBRE",VLOOKUP(CDV_PROY_MT!H36,FDV!$H$16:$K$24,IF(CDV_PROY_MT!$N$10="3F",3,4),FALSE),IF($D$10="ACS",VLOOKUP(CDV_PROY_MT!H36,FDV!$H$10:$K$15,IF(CDV_PROY_MT!$N$10="3F",3,4),FALSE),IF($D$10="5005 (PREENSAMBLADO)",VLOOKUP(CDV_PROY_MT!H36,FDV!$H$4:$K$9,IF(CDV_PROY_MT!$N$10="3F",3,4),FALSE),VLOOKUP(CDV_PROY_MT!H36,FDV!$H$25:$K$30,IF(CDV_PROY_MT!$N$10="3F",3,4),FALSE)))))</f>
        <v/>
      </c>
      <c r="K36" s="63" t="str">
        <f t="shared" si="4"/>
        <v/>
      </c>
      <c r="L36" s="62" t="str">
        <f t="shared" si="1"/>
        <v/>
      </c>
      <c r="M36" s="62" t="str">
        <f t="shared" si="5"/>
        <v/>
      </c>
      <c r="N36" s="155"/>
      <c r="U36" s="138">
        <f t="shared" si="2"/>
        <v>0</v>
      </c>
      <c r="V36" s="138">
        <f t="shared" si="3"/>
        <v>0</v>
      </c>
    </row>
    <row r="37" spans="1:22" ht="15">
      <c r="A37" s="167"/>
      <c r="B37" s="168"/>
      <c r="C37" s="279"/>
      <c r="D37" s="279"/>
      <c r="E37" s="270"/>
      <c r="F37" s="271"/>
      <c r="G37" s="59" t="str">
        <f t="shared" si="0"/>
        <v/>
      </c>
      <c r="H37" s="183"/>
      <c r="I37" s="183"/>
      <c r="J37" s="59" t="str">
        <f>IF(OR(H37="",$D$10="",$N$10=""),"",IF($D$10="COBRE",VLOOKUP(CDV_PROY_MT!H37,FDV!$H$16:$K$24,IF(CDV_PROY_MT!$N$10="3F",3,4),FALSE),IF($D$10="ACS",VLOOKUP(CDV_PROY_MT!H37,FDV!$H$10:$K$15,IF(CDV_PROY_MT!$N$10="3F",3,4),FALSE),IF($D$10="5005 (PREENSAMBLADO)",VLOOKUP(CDV_PROY_MT!H37,FDV!$H$4:$K$9,IF(CDV_PROY_MT!$N$10="3F",3,4),FALSE),VLOOKUP(CDV_PROY_MT!H37,FDV!$H$25:$K$30,IF(CDV_PROY_MT!$N$10="3F",3,4),FALSE)))))</f>
        <v/>
      </c>
      <c r="K37" s="63" t="str">
        <f t="shared" si="4"/>
        <v/>
      </c>
      <c r="L37" s="62" t="str">
        <f t="shared" si="1"/>
        <v/>
      </c>
      <c r="M37" s="62" t="str">
        <f t="shared" si="5"/>
        <v/>
      </c>
      <c r="N37" s="155"/>
      <c r="U37" s="138">
        <f t="shared" si="2"/>
        <v>0</v>
      </c>
      <c r="V37" s="138">
        <f t="shared" si="3"/>
        <v>0</v>
      </c>
    </row>
    <row r="38" spans="1:22" ht="15">
      <c r="A38" s="167"/>
      <c r="B38" s="168"/>
      <c r="C38" s="279"/>
      <c r="D38" s="279"/>
      <c r="E38" s="270"/>
      <c r="F38" s="271"/>
      <c r="G38" s="59" t="str">
        <f t="shared" si="0"/>
        <v/>
      </c>
      <c r="H38" s="183"/>
      <c r="I38" s="183"/>
      <c r="J38" s="59" t="str">
        <f>IF(OR(H38="",$D$10="",$N$10=""),"",IF($D$10="COBRE",VLOOKUP(CDV_PROY_MT!H38,FDV!$H$16:$K$24,IF(CDV_PROY_MT!$N$10="3F",3,4),FALSE),IF($D$10="ACS",VLOOKUP(CDV_PROY_MT!H38,FDV!$H$10:$K$15,IF(CDV_PROY_MT!$N$10="3F",3,4),FALSE),IF($D$10="5005 (PREENSAMBLADO)",VLOOKUP(CDV_PROY_MT!H38,FDV!$H$4:$K$9,IF(CDV_PROY_MT!$N$10="3F",3,4),FALSE),VLOOKUP(CDV_PROY_MT!H38,FDV!$H$25:$K$30,IF(CDV_PROY_MT!$N$10="3F",3,4),FALSE)))))</f>
        <v/>
      </c>
      <c r="K38" s="63" t="str">
        <f t="shared" si="4"/>
        <v/>
      </c>
      <c r="L38" s="62" t="str">
        <f t="shared" si="1"/>
        <v/>
      </c>
      <c r="M38" s="62" t="str">
        <f t="shared" si="5"/>
        <v/>
      </c>
      <c r="N38" s="155"/>
      <c r="U38" s="138">
        <f t="shared" si="2"/>
        <v>0</v>
      </c>
      <c r="V38" s="138">
        <f t="shared" si="3"/>
        <v>0</v>
      </c>
    </row>
    <row r="39" spans="1:22" ht="15">
      <c r="A39" s="167"/>
      <c r="B39" s="168"/>
      <c r="C39" s="279"/>
      <c r="D39" s="279"/>
      <c r="E39" s="270"/>
      <c r="F39" s="271"/>
      <c r="G39" s="59" t="str">
        <f t="shared" si="0"/>
        <v/>
      </c>
      <c r="H39" s="183"/>
      <c r="I39" s="183"/>
      <c r="J39" s="59" t="str">
        <f>IF(OR(H39="",$D$10="",$N$10=""),"",IF($D$10="COBRE",VLOOKUP(CDV_PROY_MT!H39,FDV!$H$16:$K$24,IF(CDV_PROY_MT!$N$10="3F",3,4),FALSE),IF($D$10="ACS",VLOOKUP(CDV_PROY_MT!H39,FDV!$H$10:$K$15,IF(CDV_PROY_MT!$N$10="3F",3,4),FALSE),IF($D$10="5005 (PREENSAMBLADO)",VLOOKUP(CDV_PROY_MT!H39,FDV!$H$4:$K$9,IF(CDV_PROY_MT!$N$10="3F",3,4),FALSE),VLOOKUP(CDV_PROY_MT!H39,FDV!$H$25:$K$30,IF(CDV_PROY_MT!$N$10="3F",3,4),FALSE)))))</f>
        <v/>
      </c>
      <c r="K39" s="63" t="str">
        <f t="shared" si="4"/>
        <v/>
      </c>
      <c r="L39" s="62" t="str">
        <f t="shared" si="1"/>
        <v/>
      </c>
      <c r="M39" s="62" t="str">
        <f t="shared" si="5"/>
        <v/>
      </c>
      <c r="N39" s="155"/>
      <c r="U39" s="138">
        <f t="shared" si="2"/>
        <v>0</v>
      </c>
      <c r="V39" s="138">
        <f t="shared" si="3"/>
        <v>0</v>
      </c>
    </row>
    <row r="40" spans="1:22" ht="15">
      <c r="A40" s="167"/>
      <c r="B40" s="168"/>
      <c r="C40" s="279"/>
      <c r="D40" s="279"/>
      <c r="E40" s="270"/>
      <c r="F40" s="271"/>
      <c r="G40" s="59" t="str">
        <f t="shared" si="0"/>
        <v/>
      </c>
      <c r="H40" s="183"/>
      <c r="I40" s="183"/>
      <c r="J40" s="59" t="str">
        <f>IF(OR(H40="",$D$10="",$N$10=""),"",IF($D$10="COBRE",VLOOKUP(CDV_PROY_MT!H40,FDV!$H$16:$K$24,IF(CDV_PROY_MT!$N$10="3F",3,4),FALSE),IF($D$10="ACS",VLOOKUP(CDV_PROY_MT!H40,FDV!$H$10:$K$15,IF(CDV_PROY_MT!$N$10="3F",3,4),FALSE),IF($D$10="5005 (PREENSAMBLADO)",VLOOKUP(CDV_PROY_MT!H40,FDV!$H$4:$K$9,IF(CDV_PROY_MT!$N$10="3F",3,4),FALSE),VLOOKUP(CDV_PROY_MT!H40,FDV!$H$25:$K$30,IF(CDV_PROY_MT!$N$10="3F",3,4),FALSE)))))</f>
        <v/>
      </c>
      <c r="K40" s="63" t="str">
        <f t="shared" si="4"/>
        <v/>
      </c>
      <c r="L40" s="62" t="str">
        <f t="shared" si="1"/>
        <v/>
      </c>
      <c r="M40" s="62" t="str">
        <f t="shared" si="5"/>
        <v/>
      </c>
      <c r="N40" s="155"/>
      <c r="U40" s="138">
        <f t="shared" si="2"/>
        <v>0</v>
      </c>
      <c r="V40" s="138">
        <f t="shared" si="3"/>
        <v>0</v>
      </c>
    </row>
    <row r="41" spans="1:22" ht="15">
      <c r="A41" s="167"/>
      <c r="B41" s="168"/>
      <c r="C41" s="279"/>
      <c r="D41" s="279"/>
      <c r="E41" s="270"/>
      <c r="F41" s="271"/>
      <c r="G41" s="59" t="str">
        <f t="shared" si="0"/>
        <v/>
      </c>
      <c r="H41" s="183"/>
      <c r="I41" s="183"/>
      <c r="J41" s="59" t="str">
        <f>IF(OR(H41="",$D$10="",$N$10=""),"",IF($D$10="COBRE",VLOOKUP(CDV_PROY_MT!H41,FDV!$H$16:$K$24,IF(CDV_PROY_MT!$N$10="3F",3,4),FALSE),IF($D$10="ACS",VLOOKUP(CDV_PROY_MT!H41,FDV!$H$10:$K$15,IF(CDV_PROY_MT!$N$10="3F",3,4),FALSE),IF($D$10="5005 (PREENSAMBLADO)",VLOOKUP(CDV_PROY_MT!H41,FDV!$H$4:$K$9,IF(CDV_PROY_MT!$N$10="3F",3,4),FALSE),VLOOKUP(CDV_PROY_MT!H41,FDV!$H$25:$K$30,IF(CDV_PROY_MT!$N$10="3F",3,4),FALSE)))))</f>
        <v/>
      </c>
      <c r="K41" s="63" t="str">
        <f t="shared" si="4"/>
        <v/>
      </c>
      <c r="L41" s="62" t="str">
        <f t="shared" si="1"/>
        <v/>
      </c>
      <c r="M41" s="62" t="str">
        <f t="shared" si="5"/>
        <v/>
      </c>
      <c r="N41" s="155"/>
      <c r="U41" s="138">
        <f t="shared" si="2"/>
        <v>0</v>
      </c>
      <c r="V41" s="138">
        <f t="shared" si="3"/>
        <v>0</v>
      </c>
    </row>
    <row r="42" spans="1:22" ht="15">
      <c r="A42" s="167"/>
      <c r="B42" s="168"/>
      <c r="C42" s="279"/>
      <c r="D42" s="279"/>
      <c r="E42" s="270"/>
      <c r="F42" s="271"/>
      <c r="G42" s="59" t="str">
        <f t="shared" si="0"/>
        <v/>
      </c>
      <c r="H42" s="183"/>
      <c r="I42" s="183"/>
      <c r="J42" s="59" t="str">
        <f>IF(OR(H42="",$D$10="",$N$10=""),"",IF($D$10="COBRE",VLOOKUP(CDV_PROY_MT!H42,FDV!$H$16:$K$24,IF(CDV_PROY_MT!$N$10="3F",3,4),FALSE),IF($D$10="ACS",VLOOKUP(CDV_PROY_MT!H42,FDV!$H$10:$K$15,IF(CDV_PROY_MT!$N$10="3F",3,4),FALSE),IF($D$10="5005 (PREENSAMBLADO)",VLOOKUP(CDV_PROY_MT!H42,FDV!$H$4:$K$9,IF(CDV_PROY_MT!$N$10="3F",3,4),FALSE),VLOOKUP(CDV_PROY_MT!H42,FDV!$H$25:$K$30,IF(CDV_PROY_MT!$N$10="3F",3,4),FALSE)))))</f>
        <v/>
      </c>
      <c r="K42" s="63" t="str">
        <f t="shared" si="4"/>
        <v/>
      </c>
      <c r="L42" s="62" t="str">
        <f t="shared" si="1"/>
        <v/>
      </c>
      <c r="M42" s="62" t="str">
        <f t="shared" si="5"/>
        <v/>
      </c>
      <c r="N42" s="155"/>
      <c r="U42" s="138">
        <f t="shared" si="2"/>
        <v>0</v>
      </c>
      <c r="V42" s="138">
        <f t="shared" si="3"/>
        <v>0</v>
      </c>
    </row>
    <row r="43" spans="1:22" ht="15">
      <c r="A43" s="167"/>
      <c r="B43" s="168"/>
      <c r="C43" s="279"/>
      <c r="D43" s="279"/>
      <c r="E43" s="270"/>
      <c r="F43" s="271"/>
      <c r="G43" s="59" t="str">
        <f t="shared" si="0"/>
        <v/>
      </c>
      <c r="H43" s="183"/>
      <c r="I43" s="183"/>
      <c r="J43" s="59" t="str">
        <f>IF(OR(H43="",$D$10="",$N$10=""),"",IF($D$10="COBRE",VLOOKUP(CDV_PROY_MT!H43,FDV!$H$16:$K$24,IF(CDV_PROY_MT!$N$10="3F",3,4),FALSE),IF($D$10="ACS",VLOOKUP(CDV_PROY_MT!H43,FDV!$H$10:$K$15,IF(CDV_PROY_MT!$N$10="3F",3,4),FALSE),IF($D$10="5005 (PREENSAMBLADO)",VLOOKUP(CDV_PROY_MT!H43,FDV!$H$4:$K$9,IF(CDV_PROY_MT!$N$10="3F",3,4),FALSE),VLOOKUP(CDV_PROY_MT!H43,FDV!$H$25:$K$30,IF(CDV_PROY_MT!$N$10="3F",3,4),FALSE)))))</f>
        <v/>
      </c>
      <c r="K43" s="63" t="str">
        <f t="shared" si="4"/>
        <v/>
      </c>
      <c r="L43" s="62" t="str">
        <f t="shared" si="1"/>
        <v/>
      </c>
      <c r="M43" s="62" t="str">
        <f t="shared" si="5"/>
        <v/>
      </c>
      <c r="N43" s="155"/>
      <c r="U43" s="138">
        <f t="shared" si="2"/>
        <v>0</v>
      </c>
      <c r="V43" s="138">
        <f t="shared" si="3"/>
        <v>0</v>
      </c>
    </row>
    <row r="44" spans="1:22" ht="15">
      <c r="A44" s="167"/>
      <c r="B44" s="168"/>
      <c r="C44" s="279"/>
      <c r="D44" s="279"/>
      <c r="E44" s="270"/>
      <c r="F44" s="271"/>
      <c r="G44" s="59" t="str">
        <f t="shared" si="0"/>
        <v/>
      </c>
      <c r="H44" s="183"/>
      <c r="I44" s="183"/>
      <c r="J44" s="59" t="str">
        <f>IF(OR(H44="",$D$10="",$N$10=""),"",IF($D$10="COBRE",VLOOKUP(CDV_PROY_MT!H44,FDV!$H$16:$K$24,IF(CDV_PROY_MT!$N$10="3F",3,4),FALSE),IF($D$10="ACS",VLOOKUP(CDV_PROY_MT!H44,FDV!$H$10:$K$15,IF(CDV_PROY_MT!$N$10="3F",3,4),FALSE),IF($D$10="5005 (PREENSAMBLADO)",VLOOKUP(CDV_PROY_MT!H44,FDV!$H$4:$K$9,IF(CDV_PROY_MT!$N$10="3F",3,4),FALSE),VLOOKUP(CDV_PROY_MT!H44,FDV!$H$25:$K$30,IF(CDV_PROY_MT!$N$10="3F",3,4),FALSE)))))</f>
        <v/>
      </c>
      <c r="K44" s="63" t="str">
        <f t="shared" si="4"/>
        <v/>
      </c>
      <c r="L44" s="62" t="str">
        <f t="shared" si="1"/>
        <v/>
      </c>
      <c r="M44" s="62" t="str">
        <f t="shared" si="5"/>
        <v/>
      </c>
      <c r="N44" s="155"/>
      <c r="U44" s="138">
        <f t="shared" si="2"/>
        <v>0</v>
      </c>
      <c r="V44" s="138">
        <f t="shared" si="3"/>
        <v>0</v>
      </c>
    </row>
    <row r="45" spans="1:22" ht="15">
      <c r="A45" s="167"/>
      <c r="B45" s="168"/>
      <c r="C45" s="279"/>
      <c r="D45" s="279"/>
      <c r="E45" s="270"/>
      <c r="F45" s="271"/>
      <c r="G45" s="59" t="str">
        <f t="shared" si="0"/>
        <v/>
      </c>
      <c r="H45" s="183"/>
      <c r="I45" s="183"/>
      <c r="J45" s="59" t="str">
        <f>IF(OR(H45="",$D$10="",$N$10=""),"",IF($D$10="COBRE",VLOOKUP(CDV_PROY_MT!H45,FDV!$H$16:$K$24,IF(CDV_PROY_MT!$N$10="3F",3,4),FALSE),IF($D$10="ACS",VLOOKUP(CDV_PROY_MT!H45,FDV!$H$10:$K$15,IF(CDV_PROY_MT!$N$10="3F",3,4),FALSE),IF($D$10="5005 (PREENSAMBLADO)",VLOOKUP(CDV_PROY_MT!H45,FDV!$H$4:$K$9,IF(CDV_PROY_MT!$N$10="3F",3,4),FALSE),VLOOKUP(CDV_PROY_MT!H45,FDV!$H$25:$K$30,IF(CDV_PROY_MT!$N$10="3F",3,4),FALSE)))))</f>
        <v/>
      </c>
      <c r="K45" s="63" t="str">
        <f t="shared" si="4"/>
        <v/>
      </c>
      <c r="L45" s="62" t="str">
        <f t="shared" si="1"/>
        <v/>
      </c>
      <c r="M45" s="62" t="str">
        <f t="shared" si="5"/>
        <v/>
      </c>
      <c r="N45" s="155"/>
      <c r="U45" s="138">
        <f t="shared" si="2"/>
        <v>0</v>
      </c>
      <c r="V45" s="138">
        <f t="shared" si="3"/>
        <v>0</v>
      </c>
    </row>
    <row r="46" spans="1:22" ht="15">
      <c r="A46" s="167"/>
      <c r="B46" s="168"/>
      <c r="C46" s="279"/>
      <c r="D46" s="279"/>
      <c r="E46" s="270"/>
      <c r="F46" s="271"/>
      <c r="G46" s="59" t="str">
        <f t="shared" si="0"/>
        <v/>
      </c>
      <c r="H46" s="183"/>
      <c r="I46" s="183"/>
      <c r="J46" s="59" t="str">
        <f>IF(OR(H46="",$D$10="",$N$10=""),"",IF($D$10="COBRE",VLOOKUP(CDV_PROY_MT!H46,FDV!$H$16:$K$24,IF(CDV_PROY_MT!$N$10="3F",3,4),FALSE),IF($D$10="ACS",VLOOKUP(CDV_PROY_MT!H46,FDV!$H$10:$K$15,IF(CDV_PROY_MT!$N$10="3F",3,4),FALSE),IF($D$10="5005 (PREENSAMBLADO)",VLOOKUP(CDV_PROY_MT!H46,FDV!$H$4:$K$9,IF(CDV_PROY_MT!$N$10="3F",3,4),FALSE),VLOOKUP(CDV_PROY_MT!H46,FDV!$H$25:$K$30,IF(CDV_PROY_MT!$N$10="3F",3,4),FALSE)))))</f>
        <v/>
      </c>
      <c r="K46" s="63" t="str">
        <f t="shared" si="4"/>
        <v/>
      </c>
      <c r="L46" s="62" t="str">
        <f t="shared" si="1"/>
        <v/>
      </c>
      <c r="M46" s="62" t="str">
        <f t="shared" si="5"/>
        <v/>
      </c>
      <c r="N46" s="155"/>
      <c r="U46" s="138">
        <f t="shared" si="2"/>
        <v>0</v>
      </c>
      <c r="V46" s="138">
        <f t="shared" si="3"/>
        <v>0</v>
      </c>
    </row>
    <row r="47" spans="1:22" ht="15">
      <c r="A47" s="167"/>
      <c r="B47" s="168"/>
      <c r="C47" s="279"/>
      <c r="D47" s="279"/>
      <c r="E47" s="270"/>
      <c r="F47" s="271"/>
      <c r="G47" s="59" t="str">
        <f t="shared" si="0"/>
        <v/>
      </c>
      <c r="H47" s="183"/>
      <c r="I47" s="183"/>
      <c r="J47" s="59" t="str">
        <f>IF(OR(H47="",$D$10="",$N$10=""),"",IF($D$10="COBRE",VLOOKUP(CDV_PROY_MT!H47,FDV!$H$16:$K$24,IF(CDV_PROY_MT!$N$10="3F",3,4),FALSE),IF($D$10="ACS",VLOOKUP(CDV_PROY_MT!H47,FDV!$H$10:$K$15,IF(CDV_PROY_MT!$N$10="3F",3,4),FALSE),IF($D$10="5005 (PREENSAMBLADO)",VLOOKUP(CDV_PROY_MT!H47,FDV!$H$4:$K$9,IF(CDV_PROY_MT!$N$10="3F",3,4),FALSE),VLOOKUP(CDV_PROY_MT!H47,FDV!$H$25:$K$30,IF(CDV_PROY_MT!$N$10="3F",3,4),FALSE)))))</f>
        <v/>
      </c>
      <c r="K47" s="63" t="str">
        <f t="shared" si="4"/>
        <v/>
      </c>
      <c r="L47" s="62" t="str">
        <f t="shared" si="1"/>
        <v/>
      </c>
      <c r="M47" s="62" t="str">
        <f t="shared" si="5"/>
        <v/>
      </c>
      <c r="N47" s="155"/>
      <c r="U47" s="138">
        <f t="shared" si="2"/>
        <v>0</v>
      </c>
      <c r="V47" s="138">
        <f t="shared" si="3"/>
        <v>0</v>
      </c>
    </row>
    <row r="48" spans="1:22" ht="15">
      <c r="A48" s="167"/>
      <c r="B48" s="168"/>
      <c r="C48" s="279"/>
      <c r="D48" s="279"/>
      <c r="E48" s="270"/>
      <c r="F48" s="271"/>
      <c r="G48" s="59" t="str">
        <f t="shared" si="0"/>
        <v/>
      </c>
      <c r="H48" s="183"/>
      <c r="I48" s="183"/>
      <c r="J48" s="59" t="str">
        <f>IF(OR(H48="",$D$10="",$N$10=""),"",IF($D$10="COBRE",VLOOKUP(CDV_PROY_MT!H48,FDV!$H$16:$K$24,IF(CDV_PROY_MT!$N$10="3F",3,4),FALSE),IF($D$10="ACS",VLOOKUP(CDV_PROY_MT!H48,FDV!$H$10:$K$15,IF(CDV_PROY_MT!$N$10="3F",3,4),FALSE),IF($D$10="5005 (PREENSAMBLADO)",VLOOKUP(CDV_PROY_MT!H48,FDV!$H$4:$K$9,IF(CDV_PROY_MT!$N$10="3F",3,4),FALSE),VLOOKUP(CDV_PROY_MT!H48,FDV!$H$25:$K$30,IF(CDV_PROY_MT!$N$10="3F",3,4),FALSE)))))</f>
        <v/>
      </c>
      <c r="K48" s="63" t="str">
        <f t="shared" si="4"/>
        <v/>
      </c>
      <c r="L48" s="62" t="str">
        <f t="shared" si="1"/>
        <v/>
      </c>
      <c r="M48" s="62" t="str">
        <f t="shared" si="5"/>
        <v/>
      </c>
      <c r="N48" s="156"/>
      <c r="U48" s="138">
        <f t="shared" si="2"/>
        <v>0</v>
      </c>
      <c r="V48" s="138">
        <f t="shared" si="3"/>
        <v>0</v>
      </c>
    </row>
    <row r="49" spans="1:22" ht="15.75" thickBot="1">
      <c r="A49" s="178"/>
      <c r="B49" s="179"/>
      <c r="C49" s="272"/>
      <c r="D49" s="272"/>
      <c r="E49" s="277"/>
      <c r="F49" s="278"/>
      <c r="G49" s="69" t="str">
        <f t="shared" si="0"/>
        <v/>
      </c>
      <c r="H49" s="184"/>
      <c r="I49" s="184"/>
      <c r="J49" s="69" t="str">
        <f>IF(OR(H49="",$D$10="",$N$10=""),"",IF($D$10="COBRE",VLOOKUP(CDV_PROY_MT!H49,FDV!$H$16:$K$24,IF(CDV_PROY_MT!$N$10="3F",3,4),FALSE),IF($D$10="ACS",VLOOKUP(CDV_PROY_MT!H49,FDV!$H$10:$K$15,IF(CDV_PROY_MT!$N$10="3F",3,4),FALSE),IF($D$10="5005 (PREENSAMBLADO)",VLOOKUP(CDV_PROY_MT!H49,FDV!$H$4:$K$9,IF(CDV_PROY_MT!$N$10="3F",3,4),FALSE),VLOOKUP(CDV_PROY_MT!H49,FDV!$H$25:$K$30,IF(CDV_PROY_MT!$N$10="3F",3,4),FALSE)))))</f>
        <v/>
      </c>
      <c r="K49" s="65" t="str">
        <f t="shared" si="4"/>
        <v/>
      </c>
      <c r="L49" s="64" t="str">
        <f t="shared" si="1"/>
        <v/>
      </c>
      <c r="M49" s="64" t="str">
        <f t="shared" si="5"/>
        <v/>
      </c>
      <c r="N49" s="157"/>
      <c r="U49" s="138">
        <f t="shared" si="2"/>
        <v>0</v>
      </c>
      <c r="V49" s="138">
        <f t="shared" si="3"/>
        <v>0</v>
      </c>
    </row>
    <row r="50" spans="1:22" ht="15.75" hidden="1" thickBot="1">
      <c r="A50" s="143"/>
      <c r="B50" s="67" t="str">
        <f>IF(N19="","",N19)</f>
        <v>P1</v>
      </c>
      <c r="C50" s="144"/>
      <c r="D50" s="144"/>
      <c r="E50" s="145"/>
      <c r="F50" s="68" t="str">
        <f>IF($N$8="","",IF($N$8="INDUSTRIAL",IF(OR($D$6="",$D$12=""),"",IF(OR(D50&gt;$D$13,E50&gt;$D$14),"Rev. Total. abona.",IF(D50="",IF(E50="","",E50/(0.9*1000)),IF(OR($D$6="SAN CRISTOBAL",$D$6="FLOREANA"),VLOOKUP(D50,'Estratos SCY - FLO'!$A$4:$M$108,IF($D$12="A1",2,IF($D$12="A",5,IF($D$12="B",8,11))))+E50/(0.92*1000),VLOOKUP(D50,'Estratos SCX - ISA'!$A$3:$M$107,IF($D$12="A1",2,IF($D$12="A",5,IF($D$12="B",8,11))))+E50/(0.92*1000))))),IF(OR($D$6="",$D$12=""),"",IF(OR(D50&gt;$D$13,E50&gt;$D$14),"Rev. Total. abona.",IF(D50="",IF(E50="","",E50/(0.92*1000)),IF(OR($D$6="SAN CRISTOBAL",$D$6="FLOREANA"),VLOOKUP(D50,'Estratos SCY - FLO'!$O$4:$S$108,IF($D$12="A1",2,IF($D$12="A",3,IF($D$12="B",4,5))))+E50/(0.92*1000),VLOOKUP(D50,'Estratos SCX - ISA'!$O$4:$S$108,IF($D$12="A1",2,IF($D$12="A",3,IF($D$12="B",4,5))))+E50/(0.92*1000)))))))</f>
        <v/>
      </c>
      <c r="G50" s="69" t="str">
        <f>IF(OR($N$10="",C50=""),"",IF($N$10="1F",1,3))</f>
        <v/>
      </c>
      <c r="H50" s="146" t="e">
        <f>IF(B50="","",IF(B50-A50=1,H49,""))</f>
        <v>#VALUE!</v>
      </c>
      <c r="I50" s="146"/>
      <c r="J50" s="70" t="e">
        <f>IF(OR(H50="",$D$10="",$N$10=""),"",IF($D$10="COBRE",VLOOKUP(CDV_PROY_MT!H50,FDV!$B$16:$E$24,IF(CDV_PROY_MT!$N$10="3F",3,4),FALSE),IF($D$10="ACS",VLOOKUP(CDV_PROY_MT!H50,FDV!$B$10:$E$15,IF(CDV_PROY_MT!$N$10="3F",3,4),FALSE),IF($D$10="5005 (PREENSAMBLADO)",VLOOKUP(CDV_PROY_MT!H50,FDV!$B$4:$E$9,IF(CDV_PROY_MT!$N$10="3F",3,4),FALSE),VLOOKUP(CDV_PROY_MT!H50,FDV!$B$25:$E$30,IF(CDV_PROY_MT!$N$10="3F",3,4),FALSE)))))</f>
        <v>#VALUE!</v>
      </c>
      <c r="K50" s="71" t="str">
        <f>IF(C50="","",ROUND(F50*C50,0))</f>
        <v/>
      </c>
      <c r="L50" s="68" t="str">
        <f>IF(C50="","",ROUND(K50/J50,2))</f>
        <v/>
      </c>
      <c r="M50" s="72">
        <v>0</v>
      </c>
      <c r="N50" s="66"/>
      <c r="U50" s="138">
        <f t="shared" si="2"/>
        <v>0</v>
      </c>
      <c r="V50" s="138">
        <f t="shared" si="3"/>
        <v>0</v>
      </c>
    </row>
    <row r="51" spans="1:22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121"/>
      <c r="L51" s="121"/>
      <c r="M51" s="128"/>
      <c r="N51" s="265"/>
      <c r="U51" s="138">
        <f>+IF(D51&gt;0,C51,0)</f>
        <v>0</v>
      </c>
      <c r="V51" s="138">
        <f>IF(C51="",0,C51*G51)</f>
        <v>0</v>
      </c>
    </row>
    <row r="52" spans="1:14" ht="15.75" thickBot="1">
      <c r="A52" s="93" t="s">
        <v>96</v>
      </c>
      <c r="B52" s="94">
        <f>+ROUND(SUMIF(H23:H49,"4/0",V23:V51)*1.015,0)</f>
        <v>0</v>
      </c>
      <c r="C52" s="93" t="s">
        <v>97</v>
      </c>
      <c r="D52" s="94">
        <f>ROUND((SUMIF(H23:H49,"3/0",V23:V51))*1.015,0)</f>
        <v>0</v>
      </c>
      <c r="E52" s="82" t="s">
        <v>95</v>
      </c>
      <c r="F52" s="81">
        <f>ROUND((SUMIF(H23:H49,"2/0",V23:V51))*1.015,0)</f>
        <v>0</v>
      </c>
      <c r="G52" s="80" t="s">
        <v>57</v>
      </c>
      <c r="H52" s="81">
        <f>ROUND((SUMIF(H23:H49,"1/0",V23:V51))*1.015,0)</f>
        <v>0</v>
      </c>
      <c r="I52" s="93" t="s">
        <v>58</v>
      </c>
      <c r="J52" s="94">
        <f>ROUND((SUMIF(H23:H49,"2",V23:V51))*1.015,0)</f>
        <v>403</v>
      </c>
      <c r="K52" s="147"/>
      <c r="L52" s="91"/>
      <c r="M52" s="92"/>
      <c r="N52" s="266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266"/>
    </row>
    <row r="54" spans="1:14" ht="15.75" thickBot="1">
      <c r="A54" s="93" t="s">
        <v>96</v>
      </c>
      <c r="B54" s="94">
        <f>+ROUND(SUMIF(I23:I49,"4/0",U23:U51)*1.015,0)</f>
        <v>0</v>
      </c>
      <c r="C54" s="93" t="s">
        <v>97</v>
      </c>
      <c r="D54" s="94">
        <f>ROUND((SUMIF(I23:I49,"3/0",U23:U51))*1.015,0)</f>
        <v>0</v>
      </c>
      <c r="E54" s="93" t="s">
        <v>95</v>
      </c>
      <c r="F54" s="94">
        <f>ROUND((SUMIF(I23:I49,"2/0",U23:U51))*1.015,0)</f>
        <v>0</v>
      </c>
      <c r="G54" s="93" t="s">
        <v>57</v>
      </c>
      <c r="H54" s="94">
        <f>ROUND((SUMIF(I23:I49,"1/0",U23:U51))*1.015,0)</f>
        <v>0</v>
      </c>
      <c r="I54" s="93" t="s">
        <v>58</v>
      </c>
      <c r="J54" s="94">
        <f>ROUND((SUMIF(I23:I49,"2",U23:U51))*1.015,0)</f>
        <v>403</v>
      </c>
      <c r="L54" s="91"/>
      <c r="M54" s="92"/>
      <c r="N54" s="266"/>
    </row>
    <row r="55" spans="1:14" ht="15.75" thickBot="1">
      <c r="A55" s="269" t="s">
        <v>122</v>
      </c>
      <c r="B55" s="269"/>
      <c r="C55" s="269"/>
      <c r="D55" s="21">
        <f>IF(N10="","",SUM(C23:C49))</f>
        <v>397</v>
      </c>
      <c r="E55" s="28" t="s">
        <v>59</v>
      </c>
      <c r="G55" s="21"/>
      <c r="H55" s="21"/>
      <c r="I55" s="21"/>
      <c r="J55" s="21"/>
      <c r="K55" s="21"/>
      <c r="L55" s="21"/>
      <c r="M55" s="23"/>
      <c r="N55" s="83" t="s">
        <v>80</v>
      </c>
    </row>
    <row r="56" spans="1:14" ht="15">
      <c r="A56" s="36" t="s">
        <v>60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  <c r="N56" s="84" t="s">
        <v>61</v>
      </c>
    </row>
    <row r="57" spans="1:14" ht="15.75" thickBot="1">
      <c r="A57" s="148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85">
        <f>MAX(N23:N49)</f>
        <v>0.01</v>
      </c>
    </row>
  </sheetData>
  <mergeCells count="83">
    <mergeCell ref="B56:M56"/>
    <mergeCell ref="B57:M57"/>
    <mergeCell ref="E31:F31"/>
    <mergeCell ref="E32:F32"/>
    <mergeCell ref="C23:D23"/>
    <mergeCell ref="E29:F29"/>
    <mergeCell ref="E30:F30"/>
    <mergeCell ref="E23:F23"/>
    <mergeCell ref="C26:D26"/>
    <mergeCell ref="E46:F46"/>
    <mergeCell ref="E47:F47"/>
    <mergeCell ref="E48:F48"/>
    <mergeCell ref="E24:F24"/>
    <mergeCell ref="E25:F25"/>
    <mergeCell ref="E26:F26"/>
    <mergeCell ref="E27:F27"/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15:J15"/>
    <mergeCell ref="A21:B21"/>
    <mergeCell ref="G21:J21"/>
    <mergeCell ref="C21:D21"/>
    <mergeCell ref="D10:G10"/>
    <mergeCell ref="U21:U22"/>
    <mergeCell ref="V21:V22"/>
    <mergeCell ref="N51:N54"/>
    <mergeCell ref="A55:C55"/>
    <mergeCell ref="P23:P24"/>
    <mergeCell ref="P25:P26"/>
    <mergeCell ref="P22:R22"/>
    <mergeCell ref="K21:K22"/>
    <mergeCell ref="L21:N21"/>
    <mergeCell ref="C27:D27"/>
    <mergeCell ref="C28:D28"/>
    <mergeCell ref="C29:D29"/>
    <mergeCell ref="C30:D30"/>
    <mergeCell ref="C31:D31"/>
    <mergeCell ref="C22:D22"/>
    <mergeCell ref="E45:F45"/>
    <mergeCell ref="E44:F44"/>
    <mergeCell ref="C35:D35"/>
    <mergeCell ref="C36:D36"/>
    <mergeCell ref="C37:D37"/>
    <mergeCell ref="E43:F43"/>
    <mergeCell ref="C44:D44"/>
    <mergeCell ref="C45:D45"/>
    <mergeCell ref="C32:D32"/>
    <mergeCell ref="C33:D33"/>
    <mergeCell ref="C34:D34"/>
    <mergeCell ref="C38:D38"/>
    <mergeCell ref="C49:D49"/>
    <mergeCell ref="E21:F21"/>
    <mergeCell ref="E22:F22"/>
    <mergeCell ref="E49:F49"/>
    <mergeCell ref="C46:D46"/>
    <mergeCell ref="C47:D47"/>
    <mergeCell ref="C48:D48"/>
    <mergeCell ref="C24:D24"/>
    <mergeCell ref="C25:D25"/>
    <mergeCell ref="C39:D39"/>
    <mergeCell ref="C40:D40"/>
    <mergeCell ref="C41:D41"/>
    <mergeCell ref="C42:D42"/>
    <mergeCell ref="E38:F38"/>
    <mergeCell ref="E28:F28"/>
    <mergeCell ref="C43:D43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</mergeCells>
  <conditionalFormatting sqref="N23:N40 N42:N50">
    <cfRule type="expression" priority="52" dxfId="0" stopIfTrue="1">
      <formula>$X22&gt;0</formula>
    </cfRule>
  </conditionalFormatting>
  <conditionalFormatting sqref="D8">
    <cfRule type="cellIs" priority="53" dxfId="2" operator="equal" stopIfTrue="1">
      <formula>""""""</formula>
    </cfRule>
  </conditionalFormatting>
  <conditionalFormatting sqref="N41">
    <cfRule type="expression" priority="54" dxfId="0" stopIfTrue="1">
      <formula>#REF!&gt;0</formula>
    </cfRule>
  </conditionalFormatting>
  <conditionalFormatting sqref="N1 D6 H6 M6 D8 D10 D12:D14 H13:H14 N10 N12 N19">
    <cfRule type="containsBlanks" priority="55" dxfId="7" stopIfTrue="1">
      <formula>LEN(TRIM(D1))=0</formula>
    </cfRule>
  </conditionalFormatting>
  <conditionalFormatting sqref="N18">
    <cfRule type="containsBlanks" priority="4" dxfId="7" stopIfTrue="1">
      <formula>LEN(TRIM(N18))=0</formula>
    </cfRule>
  </conditionalFormatting>
  <dataValidations count="5">
    <dataValidation type="list" allowBlank="1" showInputMessage="1" showErrorMessage="1" sqref="H23:I49">
      <formula1>$AC$5:$AC$9</formula1>
    </dataValidation>
    <dataValidation type="list" allowBlank="1" showInputMessage="1" showErrorMessage="1" sqref="D8">
      <formula1>$W$5:$W$7</formula1>
    </dataValidation>
    <dataValidation type="list" allowBlank="1" showInputMessage="1" showErrorMessage="1" sqref="D6">
      <formula1>$U$5:$U$8</formula1>
    </dataValidation>
    <dataValidation type="list" allowBlank="1" showInputMessage="1" showErrorMessage="1" sqref="D10">
      <formula1>$Y$5:$Y$8</formula1>
    </dataValidation>
    <dataValidation type="list" allowBlank="1" showInputMessage="1" showErrorMessage="1" sqref="N10">
      <formula1>$AB$5:$AB$6</formula1>
    </dataValidation>
  </dataValidations>
  <printOptions/>
  <pageMargins left="0.7" right="0.7" top="0.75" bottom="0.75" header="0.3" footer="0.3"/>
  <pageSetup horizontalDpi="600" verticalDpi="600" orientation="portrait" scale="60" r:id="rId4"/>
  <colBreaks count="1" manualBreakCount="1">
    <brk id="14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8"/>
  <sheetViews>
    <sheetView workbookViewId="0" topLeftCell="A1">
      <selection activeCell="A17" sqref="A17"/>
    </sheetView>
  </sheetViews>
  <sheetFormatPr defaultColWidth="11.421875" defaultRowHeight="15"/>
  <cols>
    <col min="1" max="1" width="7.28125" style="138" customWidth="1"/>
    <col min="2" max="2" width="8.57421875" style="138" customWidth="1"/>
    <col min="3" max="3" width="8.28125" style="138" customWidth="1"/>
    <col min="4" max="4" width="7.7109375" style="138" customWidth="1"/>
    <col min="5" max="5" width="8.00390625" style="138" customWidth="1"/>
    <col min="6" max="6" width="9.421875" style="138" customWidth="1"/>
    <col min="7" max="7" width="9.00390625" style="138" customWidth="1"/>
    <col min="8" max="9" width="11.421875" style="138" customWidth="1"/>
    <col min="10" max="10" width="8.8515625" style="138" customWidth="1"/>
    <col min="11" max="11" width="6.8515625" style="138" customWidth="1"/>
    <col min="12" max="12" width="10.00390625" style="138" customWidth="1"/>
    <col min="13" max="13" width="12.421875" style="138" customWidth="1"/>
    <col min="14" max="14" width="10.57421875" style="138" customWidth="1"/>
    <col min="15" max="15" width="11.421875" style="138" customWidth="1"/>
    <col min="16" max="17" width="11.8515625" style="138" bestFit="1" customWidth="1"/>
    <col min="18" max="18" width="11.421875" style="138" customWidth="1"/>
    <col min="19" max="27" width="11.421875" style="138" hidden="1" customWidth="1"/>
    <col min="28" max="28" width="11.421875" style="138" customWidth="1"/>
    <col min="29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88"/>
    </row>
    <row r="2" spans="1:14" ht="18">
      <c r="A2" s="305" t="s">
        <v>62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8">
      <c r="A3" s="126"/>
      <c r="B3" s="126"/>
      <c r="C3" s="126"/>
      <c r="D3" s="126"/>
      <c r="E3" s="126"/>
      <c r="F3" s="127" t="s">
        <v>108</v>
      </c>
      <c r="G3" s="126"/>
      <c r="H3" s="126"/>
      <c r="I3" s="126"/>
      <c r="J3" s="126"/>
      <c r="K3" s="126"/>
      <c r="L3" s="126"/>
      <c r="M3" s="126"/>
      <c r="N3" s="126"/>
    </row>
    <row r="4" spans="1:27" ht="15.75">
      <c r="A4" s="236" t="s">
        <v>109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S5" s="138" t="s">
        <v>64</v>
      </c>
      <c r="U5" s="138" t="s">
        <v>82</v>
      </c>
      <c r="W5" s="138" t="s">
        <v>70</v>
      </c>
      <c r="Y5" s="138" t="s">
        <v>73</v>
      </c>
      <c r="Z5" s="138" t="s">
        <v>29</v>
      </c>
      <c r="AA5" s="158">
        <v>4</v>
      </c>
    </row>
    <row r="6" spans="1:27" ht="15.75" thickBot="1">
      <c r="A6" s="25" t="s">
        <v>23</v>
      </c>
      <c r="B6" s="26"/>
      <c r="C6" s="88"/>
      <c r="D6" s="248" t="s">
        <v>64</v>
      </c>
      <c r="E6" s="248"/>
      <c r="F6" s="256" t="s">
        <v>92</v>
      </c>
      <c r="G6" s="257"/>
      <c r="H6" s="306"/>
      <c r="I6" s="307"/>
      <c r="J6" s="308"/>
      <c r="K6" s="258" t="s">
        <v>81</v>
      </c>
      <c r="L6" s="259"/>
      <c r="M6" s="251"/>
      <c r="N6" s="252"/>
      <c r="P6" s="140"/>
      <c r="S6" s="138" t="s">
        <v>65</v>
      </c>
      <c r="U6" s="138" t="s">
        <v>83</v>
      </c>
      <c r="W6" s="138" t="s">
        <v>7</v>
      </c>
      <c r="Y6" s="138" t="s">
        <v>76</v>
      </c>
      <c r="Z6" s="138" t="s">
        <v>78</v>
      </c>
      <c r="AA6" s="139">
        <v>2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U7" s="138" t="s">
        <v>68</v>
      </c>
      <c r="W7" s="138" t="s">
        <v>27</v>
      </c>
      <c r="Y7" s="138" t="s">
        <v>74</v>
      </c>
      <c r="AA7" s="139" t="s">
        <v>0</v>
      </c>
    </row>
    <row r="8" spans="1:27" ht="15.75" thickBot="1">
      <c r="A8" s="25" t="s">
        <v>24</v>
      </c>
      <c r="B8" s="26"/>
      <c r="C8" s="26"/>
      <c r="D8" s="249"/>
      <c r="E8" s="248"/>
      <c r="F8" s="250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1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2</v>
      </c>
    </row>
    <row r="10" spans="1:27" ht="16.5" customHeight="1" thickBot="1">
      <c r="A10" s="30" t="s">
        <v>26</v>
      </c>
      <c r="B10" s="18"/>
      <c r="C10" s="23"/>
      <c r="D10" s="243"/>
      <c r="E10" s="288"/>
      <c r="F10" s="244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41" t="s">
        <v>3</v>
      </c>
    </row>
    <row r="11" spans="1:22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21"/>
      <c r="L11" s="35"/>
      <c r="M11" s="18"/>
      <c r="N11" s="18"/>
      <c r="S11" s="138" t="s">
        <v>84</v>
      </c>
      <c r="U11" s="138">
        <v>10</v>
      </c>
      <c r="V11" s="138">
        <v>30</v>
      </c>
    </row>
    <row r="12" spans="1:22" ht="15.75" thickBot="1">
      <c r="A12" s="36" t="s">
        <v>71</v>
      </c>
      <c r="B12" s="37"/>
      <c r="C12" s="37"/>
      <c r="D12" s="150"/>
      <c r="E12" s="38"/>
      <c r="F12" s="39"/>
      <c r="G12" s="39"/>
      <c r="H12" s="39"/>
      <c r="I12" s="39"/>
      <c r="J12" s="37"/>
      <c r="K12" s="36"/>
      <c r="L12" s="37"/>
      <c r="M12" s="189" t="s">
        <v>126</v>
      </c>
      <c r="N12" s="161"/>
      <c r="S12" s="138" t="s">
        <v>85</v>
      </c>
      <c r="U12" s="138">
        <v>15</v>
      </c>
      <c r="V12" s="138">
        <v>50</v>
      </c>
    </row>
    <row r="13" spans="1:22" ht="15.75" thickBot="1">
      <c r="A13" s="41" t="s">
        <v>31</v>
      </c>
      <c r="B13" s="21"/>
      <c r="C13" s="21"/>
      <c r="D13" s="150"/>
      <c r="E13" s="21"/>
      <c r="F13" s="28"/>
      <c r="G13" s="42" t="s">
        <v>32</v>
      </c>
      <c r="H13" s="299"/>
      <c r="I13" s="300"/>
      <c r="J13" s="300"/>
      <c r="K13" s="41"/>
      <c r="L13" s="21"/>
      <c r="M13" s="115" t="s">
        <v>30</v>
      </c>
      <c r="N13" s="135"/>
      <c r="S13" s="138" t="s">
        <v>86</v>
      </c>
      <c r="U13" s="138">
        <v>25</v>
      </c>
      <c r="V13" s="138">
        <v>75</v>
      </c>
    </row>
    <row r="14" spans="1:22" ht="15.75" thickBot="1">
      <c r="A14" s="41" t="s">
        <v>34</v>
      </c>
      <c r="B14" s="21"/>
      <c r="C14" s="21"/>
      <c r="D14" s="162"/>
      <c r="E14" s="41"/>
      <c r="F14" s="28"/>
      <c r="G14" s="42" t="s">
        <v>35</v>
      </c>
      <c r="H14" s="239"/>
      <c r="I14" s="240"/>
      <c r="J14" s="240"/>
      <c r="K14" s="41"/>
      <c r="L14" s="21"/>
      <c r="M14" s="115" t="s">
        <v>33</v>
      </c>
      <c r="N14" s="134" t="str">
        <f>IF(N10="","",IF(N10="3F","220 / 127 V","240 / 120 V"))</f>
        <v/>
      </c>
      <c r="S14" s="138" t="s">
        <v>87</v>
      </c>
      <c r="U14" s="138">
        <v>37.5</v>
      </c>
      <c r="V14" s="138">
        <v>100</v>
      </c>
    </row>
    <row r="15" spans="1:14" ht="15.75" thickBot="1">
      <c r="A15" s="301" t="s">
        <v>94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41"/>
      <c r="L15" s="21"/>
      <c r="M15" s="115" t="str">
        <f>+IF(OR(D6="",D12="",D13="",N10=""),"","DEMANDA TOTAL (KVA):")</f>
        <v/>
      </c>
      <c r="N15" s="116" t="str">
        <f>IF(OR(D6="",D12="",D13=""),"",(IF(OR(D6="SAN CRISTOBAL",D6="FLOREANA"),VLOOKUP($D$13,'Estratos SCY - FLO'!A4:M108,IF(D12="A1",2,IF(D12="A",5,IF(D12="B",8,11))),0),VLOOKUP($D$13,'Estratos SCX - ISA'!A3:M107,IF(D12="A1",2,IF(D12="A",5,IF(D12="B",8,11))),0))+D14/900)*1.05)</f>
        <v/>
      </c>
    </row>
    <row r="16" spans="1:22" ht="33.75" customHeight="1" thickBot="1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129"/>
      <c r="L16" s="34"/>
      <c r="M16" s="187" t="str">
        <f>+IF(N15="","","POT. NOM. RECOMENDADA TRAFO.(KVA):")</f>
        <v/>
      </c>
      <c r="N16" s="117" t="str">
        <f>IF(N10="","",IF(N10="1F",IF($N$15&lt;$U$11,U11,IF(AND(N15&gt;U11,N15&lt;U12),U12,IF(AND(N15&gt;U12,N15&lt;U13),U13,IF(AND(N15&gt;U13,N15&lt;U14),U14,IF(AND(N15&gt;U14,N15&lt;U16),U16,IF(AND(N15&gt;U16,N15&lt;U17),U17,IF(AND(N15&gt;U17,N15&lt;U18),U18,IF(AND(N15&gt;U18,N15&lt;U19),U19,IF(AND(N15&gt;U19,N15&lt;U20),U20,""))))))))),IF($N$15&lt;$V$11,V11,IF(AND(N15&gt;V11,N15&lt;V12),V12,IF(AND(N15&gt;V12,N15&lt;V13),V13,IF(AND(N15&gt;V13,N15&lt;V14),V14,IF(AND(N15&gt;V14,N15&lt;V16),V16,IF(AND(N15&gt;V16,N15&lt;V17),V17,IF(AND(N15&gt;V17,N15&lt;V18),V18,"")))))))))</f>
        <v/>
      </c>
      <c r="S16" s="138" t="s">
        <v>88</v>
      </c>
      <c r="U16" s="138">
        <v>50</v>
      </c>
      <c r="V16" s="138">
        <v>125</v>
      </c>
    </row>
    <row r="17" spans="1:22" ht="15.75" thickBot="1">
      <c r="A17" s="21"/>
      <c r="B17" s="21"/>
      <c r="C17" s="21"/>
      <c r="D17" s="21"/>
      <c r="E17" s="21"/>
      <c r="F17" s="28"/>
      <c r="G17" s="28"/>
      <c r="H17" s="21"/>
      <c r="I17" s="21"/>
      <c r="J17" s="21"/>
      <c r="K17" s="21"/>
      <c r="L17" s="21"/>
      <c r="M17" s="21"/>
      <c r="N17" s="23"/>
      <c r="S17" s="138" t="s">
        <v>89</v>
      </c>
      <c r="U17" s="138">
        <v>75</v>
      </c>
      <c r="V17" s="138">
        <v>150</v>
      </c>
    </row>
    <row r="18" spans="1:22" ht="18.75">
      <c r="A18" s="46" t="s">
        <v>36</v>
      </c>
      <c r="B18" s="47"/>
      <c r="C18" s="47"/>
      <c r="D18" s="48" t="s">
        <v>113</v>
      </c>
      <c r="E18" s="49"/>
      <c r="F18" s="50"/>
      <c r="G18" s="50"/>
      <c r="H18" s="37"/>
      <c r="I18" s="37"/>
      <c r="J18" s="37"/>
      <c r="K18" s="37"/>
      <c r="L18" s="37"/>
      <c r="M18" s="37"/>
      <c r="N18" s="40"/>
      <c r="S18" s="138" t="s">
        <v>90</v>
      </c>
      <c r="U18" s="138">
        <v>100</v>
      </c>
      <c r="V18" s="138">
        <v>200</v>
      </c>
    </row>
    <row r="19" spans="1:21" ht="15.75" thickBot="1">
      <c r="A19" s="41"/>
      <c r="B19" s="21"/>
      <c r="C19" s="21"/>
      <c r="D19" s="21"/>
      <c r="E19" s="21"/>
      <c r="F19" s="28"/>
      <c r="G19" s="28"/>
      <c r="H19" s="21"/>
      <c r="I19" s="21"/>
      <c r="J19" s="21"/>
      <c r="K19" s="21"/>
      <c r="L19" s="21"/>
      <c r="M19" s="21"/>
      <c r="N19" s="51"/>
      <c r="S19" s="138" t="s">
        <v>91</v>
      </c>
      <c r="U19" s="138">
        <v>112.5</v>
      </c>
    </row>
    <row r="20" spans="1:21" ht="15.75" thickBot="1">
      <c r="A20" s="44"/>
      <c r="B20" s="34"/>
      <c r="C20" s="34"/>
      <c r="D20" s="34"/>
      <c r="E20" s="34"/>
      <c r="F20" s="45"/>
      <c r="G20" s="45"/>
      <c r="H20" s="34"/>
      <c r="I20" s="34"/>
      <c r="J20" s="34"/>
      <c r="K20" s="34"/>
      <c r="L20" s="113" t="s">
        <v>102</v>
      </c>
      <c r="M20" s="142"/>
      <c r="N20" s="153"/>
      <c r="Q20" s="139"/>
      <c r="U20" s="138">
        <v>125</v>
      </c>
    </row>
    <row r="21" spans="1:14" ht="15.75" thickBot="1">
      <c r="A21" s="21"/>
      <c r="B21" s="21"/>
      <c r="C21" s="21"/>
      <c r="D21" s="21"/>
      <c r="E21" s="21"/>
      <c r="F21" s="28"/>
      <c r="G21" s="28"/>
      <c r="H21" s="21"/>
      <c r="I21" s="21"/>
      <c r="J21" s="21"/>
      <c r="K21" s="21"/>
      <c r="L21" s="21"/>
      <c r="M21" s="21"/>
      <c r="N21" s="23"/>
    </row>
    <row r="22" spans="1:20" ht="15.75" thickBot="1">
      <c r="A22" s="247" t="s">
        <v>38</v>
      </c>
      <c r="B22" s="242"/>
      <c r="C22" s="52" t="s">
        <v>39</v>
      </c>
      <c r="D22" s="52" t="s">
        <v>40</v>
      </c>
      <c r="E22" s="53" t="s">
        <v>41</v>
      </c>
      <c r="F22" s="53" t="s">
        <v>42</v>
      </c>
      <c r="G22" s="247" t="s">
        <v>43</v>
      </c>
      <c r="H22" s="241"/>
      <c r="I22" s="241"/>
      <c r="J22" s="242"/>
      <c r="K22" s="245" t="s">
        <v>44</v>
      </c>
      <c r="L22" s="241" t="s">
        <v>45</v>
      </c>
      <c r="M22" s="241"/>
      <c r="N22" s="242"/>
      <c r="S22" s="262" t="s">
        <v>98</v>
      </c>
      <c r="T22" s="262" t="s">
        <v>99</v>
      </c>
    </row>
    <row r="23" spans="1:20" ht="15.75" thickBot="1">
      <c r="A23" s="52" t="s">
        <v>46</v>
      </c>
      <c r="B23" s="52" t="s">
        <v>47</v>
      </c>
      <c r="C23" s="54" t="s">
        <v>48</v>
      </c>
      <c r="D23" s="54" t="s">
        <v>49</v>
      </c>
      <c r="E23" s="55" t="s">
        <v>50</v>
      </c>
      <c r="F23" s="55" t="s">
        <v>51</v>
      </c>
      <c r="G23" s="56" t="s">
        <v>52</v>
      </c>
      <c r="H23" s="43" t="s">
        <v>105</v>
      </c>
      <c r="I23" s="124" t="s">
        <v>106</v>
      </c>
      <c r="J23" s="43" t="s">
        <v>53</v>
      </c>
      <c r="K23" s="246"/>
      <c r="L23" s="53" t="s">
        <v>54</v>
      </c>
      <c r="M23" s="43" t="s">
        <v>55</v>
      </c>
      <c r="N23" s="57" t="s">
        <v>56</v>
      </c>
      <c r="S23" s="262"/>
      <c r="T23" s="262"/>
    </row>
    <row r="24" spans="1:20" ht="15">
      <c r="A24" s="191" t="str">
        <f>+IF(N20="","",N20)</f>
        <v/>
      </c>
      <c r="B24" s="164"/>
      <c r="C24" s="165"/>
      <c r="D24" s="165"/>
      <c r="E24" s="166"/>
      <c r="F24" s="61" t="str">
        <f>IF(OR($D$6="",$D$12=""),"",IF(OR(D24&gt;$D$13,SUM($D$24:$D$50)&gt;$D$13,E24&gt;$D$14,SUM($E$24:$E$50)&gt;$D$14),"Rev. Total. abon/AP.",IF(D24="","",IF(OR($D$6="SAN CRISTOBAL",$D$6="FLOREANA"),VLOOKUP(D24,'Estratos SCY - FLO'!$A$4:$M$108,IF($D$12="A1",2,IF($D$12="A",5,IF($D$12="B",8,11))))+E24/(0.9*1000),VLOOKUP(D24,'Estratos SCX - ISA'!$A$3:$M$107,IF($D$12="A1",2,IF($D$12="A",5,IF($D$12="B",8,11))))+E24/(0.9*1000)))))</f>
        <v/>
      </c>
      <c r="G24" s="95" t="str">
        <f>IF(OR($N$10="",C24=""),"",IF($N$10="1F",1,3))</f>
        <v/>
      </c>
      <c r="H24" s="182"/>
      <c r="I24" s="182"/>
      <c r="J24" s="95" t="str">
        <f>IF(OR(H24="",$D$10="",$N$10=""),"",IF($D$10="COBRE",VLOOKUP(CDV_EXIST_BT!H24,FDV!$B$16:$E$24,IF(CDV_EXIST_BT!$N$10="3F",3,4),FALSE),IF($D$10="ACS",VLOOKUP(CDV_EXIST_BT!H24,FDV!$B$10:$E$15,IF(CDV_EXIST_BT!$N$10="3F",3,4),FALSE),IF($D$10="5005 (PREENSAMBLADO)",VLOOKUP(CDV_EXIST_BT!H24,FDV!$B$4:$E$9,IF(CDV_EXIST_BT!$N$10="3F",3,4),FALSE),VLOOKUP(CDV_EXIST_BT!H24,FDV!$B$25:$E$30,IF(CDV_EXIST_BT!$N$10="3F",3,4),FALSE)))))</f>
        <v/>
      </c>
      <c r="K24" s="60" t="str">
        <f aca="true" t="shared" si="0" ref="K24:K51">IF(C24="","",ROUND(F24*C24,0))</f>
        <v/>
      </c>
      <c r="L24" s="61" t="str">
        <f>IF($N$20="","",IF(C24="","",ROUND(K24/J24,2)))</f>
        <v/>
      </c>
      <c r="M24" s="61" t="str">
        <f>IF(C24="","",VLOOKUP(A24,B24:N51,12,FALSE)+L24)</f>
        <v/>
      </c>
      <c r="N24" s="154"/>
      <c r="S24" s="138">
        <f>+IF(C24="",0,C24)</f>
        <v>0</v>
      </c>
      <c r="T24" s="138">
        <f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>IF(OR($D$6="",$D$12=""),"",IF(OR(D25&gt;$D$13,SUM($D$24:$D$50)&gt;$D$13,E25&gt;$D$14,SUM($E$24:$E$50)&gt;$D$14),"Rev. Total. abon/AP.",IF(D25="","",IF(OR($D$6="SAN CRISTOBAL",$D$6="FLOREANA"),VLOOKUP(D25,'Estratos SCY - FLO'!$A$4:$M$108,IF($D$12="A1",2,IF($D$12="A",5,IF($D$12="B",8,11))))+E25/(0.9*1000),VLOOKUP(D25,'Estratos SCX - ISA'!$A$3:$M$107,IF($D$12="A1",2,IF($D$12="A",5,IF($D$12="B",8,11))))+E25/(0.9*1000)))))</f>
        <v/>
      </c>
      <c r="G25" s="59" t="str">
        <f aca="true" t="shared" si="1" ref="G25:G50">IF(OR($N$10="",C25=""),"",IF($N$10="1F",1,3))</f>
        <v/>
      </c>
      <c r="H25" s="183"/>
      <c r="I25" s="183"/>
      <c r="J25" s="59" t="str">
        <f>IF(OR(H25="",$D$10="",$N$10=""),"",IF($D$10="COBRE",VLOOKUP(CDV_EXIST_BT!H25,FDV!$B$16:$E$24,IF(CDV_EXIST_BT!$N$10="3F",3,4),FALSE),IF($D$10="ACS",VLOOKUP(CDV_EXIST_BT!H25,FDV!$B$10:$E$15,IF(CDV_EXIST_BT!$N$10="3F",3,4),FALSE),IF($D$10="5005 (PREENSAMBLADO)",VLOOKUP(CDV_EXIST_BT!H25,FDV!$B$4:$E$9,IF(CDV_EXIST_BT!$N$10="3F",3,4),FALSE),VLOOKUP(CDV_EXIST_BT!H25,FDV!$B$25:$E$30,IF(CDV_EXIST_BT!$N$10="3F",3,4),FALSE)))))</f>
        <v/>
      </c>
      <c r="K25" s="63" t="str">
        <f t="shared" si="0"/>
        <v/>
      </c>
      <c r="L25" s="62" t="str">
        <f aca="true" t="shared" si="2" ref="L25:L50">IF($N$20="","",IF(C25="","",ROUND(K25/J25,2)))</f>
        <v/>
      </c>
      <c r="M25" s="62" t="str">
        <f>IF(C25="","",VLOOKUP(A25,B24:N51,11,FALSE)+L25)</f>
        <v/>
      </c>
      <c r="N25" s="155"/>
      <c r="S25" s="138">
        <f aca="true" t="shared" si="3" ref="S25:S50">+IF(C25="",0,C25)</f>
        <v>0</v>
      </c>
      <c r="T25" s="138">
        <f aca="true" t="shared" si="4" ref="T25:T51">IF(OR(C25="",G25=""),0,C25*G25)</f>
        <v>0</v>
      </c>
    </row>
    <row r="26" spans="1:20" ht="15">
      <c r="A26" s="167"/>
      <c r="B26" s="168"/>
      <c r="C26" s="169"/>
      <c r="D26" s="169"/>
      <c r="E26" s="170"/>
      <c r="F26" s="58" t="str">
        <f>IF(OR($D$6="",$D$12=""),"",IF(OR(D26&gt;$D$13,SUM($D$24:$D$50)&gt;$D$13,E26&gt;$D$14,SUM($E$24:$E$50)&gt;$D$14),"Rev. Total. abon/AP.",IF(D26="","",IF(OR($D$6="SAN CRISTOBAL",$D$6="FLOREANA"),VLOOKUP(D26,'Estratos SCY - FLO'!$A$4:$M$108,IF($D$12="A1",2,IF($D$12="A",5,IF($D$12="B",8,11))))+E26/(0.9*1000),VLOOKUP(D26,'Estratos SCX - ISA'!$A$3:$M$107,IF($D$12="A1",2,IF($D$12="A",5,IF($D$12="B",8,11))))+E26/(0.9*1000)))))</f>
        <v/>
      </c>
      <c r="G26" s="59" t="str">
        <f t="shared" si="1"/>
        <v/>
      </c>
      <c r="H26" s="183"/>
      <c r="I26" s="183"/>
      <c r="J26" s="59" t="str">
        <f>IF(OR(H26="",$D$10="",$N$10=""),"",IF($D$10="COBRE",VLOOKUP(CDV_EXIST_BT!H26,FDV!$B$16:$E$24,IF(CDV_EXIST_BT!$N$10="3F",3,4),FALSE),IF($D$10="ACS",VLOOKUP(CDV_EXIST_BT!H26,FDV!$B$10:$E$15,IF(CDV_EXIST_BT!$N$10="3F",3,4),FALSE),IF($D$10="5005 (PREENSAMBLADO)",VLOOKUP(CDV_EXIST_BT!H26,FDV!$B$4:$E$9,IF(CDV_EXIST_BT!$N$10="3F",3,4),FALSE),VLOOKUP(CDV_EXIST_BT!H26,FDV!$B$25:$E$30,IF(CDV_EXIST_BT!$N$10="3F",3,4),FALSE)))))</f>
        <v/>
      </c>
      <c r="K26" s="63" t="str">
        <f t="shared" si="0"/>
        <v/>
      </c>
      <c r="L26" s="62" t="str">
        <f t="shared" si="2"/>
        <v/>
      </c>
      <c r="M26" s="62" t="str">
        <f>IF(C26="","",VLOOKUP(A26,B24:N51,11,FALSE)+L26)</f>
        <v/>
      </c>
      <c r="N26" s="155"/>
      <c r="S26" s="138">
        <f t="shared" si="3"/>
        <v>0</v>
      </c>
      <c r="T26" s="138">
        <f t="shared" si="4"/>
        <v>0</v>
      </c>
    </row>
    <row r="27" spans="1:20" ht="15">
      <c r="A27" s="167"/>
      <c r="B27" s="168"/>
      <c r="C27" s="169"/>
      <c r="D27" s="169"/>
      <c r="E27" s="170"/>
      <c r="F27" s="58" t="str">
        <f>IF(OR($D$6="",$D$12=""),"",IF(OR(D27&gt;$D$13,SUM($D$24:$D$50)&gt;$D$13,E27&gt;$D$14,SUM($E$24:$E$50)&gt;$D$14),"Rev. Total. abon/AP.",IF(D27="","",IF(OR($D$6="SAN CRISTOBAL",$D$6="FLOREANA"),VLOOKUP(D27,'Estratos SCY - FLO'!$A$4:$M$108,IF($D$12="A1",2,IF($D$12="A",5,IF($D$12="B",8,11))))+E27/(0.9*1000),VLOOKUP(D27,'Estratos SCX - ISA'!$A$3:$M$107,IF($D$12="A1",2,IF($D$12="A",5,IF($D$12="B",8,11))))+E27/(0.9*1000)))))</f>
        <v/>
      </c>
      <c r="G27" s="59" t="str">
        <f t="shared" si="1"/>
        <v/>
      </c>
      <c r="H27" s="183"/>
      <c r="I27" s="183"/>
      <c r="J27" s="59" t="str">
        <f>IF(OR(H27="",$D$10="",$N$10=""),"",IF($D$10="COBRE",VLOOKUP(CDV_EXIST_BT!H27,FDV!$B$16:$E$24,IF(CDV_EXIST_BT!$N$10="3F",3,4),FALSE),IF($D$10="ACS",VLOOKUP(CDV_EXIST_BT!H27,FDV!$B$10:$E$15,IF(CDV_EXIST_BT!$N$10="3F",3,4),FALSE),IF($D$10="5005 (PREENSAMBLADO)",VLOOKUP(CDV_EXIST_BT!H27,FDV!$B$4:$E$9,IF(CDV_EXIST_BT!$N$10="3F",3,4),FALSE),VLOOKUP(CDV_EXIST_BT!H27,FDV!$B$25:$E$30,IF(CDV_EXIST_BT!$N$10="3F",3,4),FALSE)))))</f>
        <v/>
      </c>
      <c r="K27" s="63" t="str">
        <f t="shared" si="0"/>
        <v/>
      </c>
      <c r="L27" s="62" t="str">
        <f t="shared" si="2"/>
        <v/>
      </c>
      <c r="M27" s="62" t="str">
        <f>IF(C27="","",VLOOKUP(A27,B24:N51,11,FALSE)+L27)</f>
        <v/>
      </c>
      <c r="N27" s="155"/>
      <c r="S27" s="138">
        <f t="shared" si="3"/>
        <v>0</v>
      </c>
      <c r="T27" s="138">
        <f t="shared" si="4"/>
        <v>0</v>
      </c>
    </row>
    <row r="28" spans="1:20" ht="15">
      <c r="A28" s="167"/>
      <c r="B28" s="168"/>
      <c r="C28" s="169"/>
      <c r="D28" s="169"/>
      <c r="E28" s="170"/>
      <c r="F28" s="58" t="str">
        <f>IF(OR($D$6="",$D$12=""),"",IF(OR(D28&gt;$D$13,SUM($D$24:$D$50)&gt;$D$13,E28&gt;$D$14,SUM($E$24:$E$50)&gt;$D$14),"Rev. Total. abon/AP.",IF(D28="","",IF(OR($D$6="SAN CRISTOBAL",$D$6="FLOREANA"),VLOOKUP(D28,'Estratos SCY - FLO'!$A$4:$M$108,IF($D$12="A1",2,IF($D$12="A",5,IF($D$12="B",8,11))))+E28/(0.9*1000),VLOOKUP(D28,'Estratos SCX - ISA'!$A$3:$M$107,IF($D$12="A1",2,IF($D$12="A",5,IF($D$12="B",8,11))))+E28/(0.9*1000)))))</f>
        <v/>
      </c>
      <c r="G28" s="59" t="str">
        <f t="shared" si="1"/>
        <v/>
      </c>
      <c r="H28" s="183"/>
      <c r="I28" s="183"/>
      <c r="J28" s="59" t="str">
        <f>IF(OR(H28="",$D$10="",$N$10=""),"",IF($D$10="COBRE",VLOOKUP(CDV_EXIST_BT!H28,FDV!$B$16:$E$24,IF(CDV_EXIST_BT!$N$10="3F",3,4),FALSE),IF($D$10="ACS",VLOOKUP(CDV_EXIST_BT!H28,FDV!$B$10:$E$15,IF(CDV_EXIST_BT!$N$10="3F",3,4),FALSE),IF($D$10="5005 (PREENSAMBLADO)",VLOOKUP(CDV_EXIST_BT!H28,FDV!$B$4:$E$9,IF(CDV_EXIST_BT!$N$10="3F",3,4),FALSE),VLOOKUP(CDV_EXIST_BT!H28,FDV!$B$25:$E$30,IF(CDV_EXIST_BT!$N$10="3F",3,4),FALSE)))))</f>
        <v/>
      </c>
      <c r="K28" s="63" t="str">
        <f t="shared" si="0"/>
        <v/>
      </c>
      <c r="L28" s="62" t="str">
        <f t="shared" si="2"/>
        <v/>
      </c>
      <c r="M28" s="62" t="str">
        <f>IF(C28="","",VLOOKUP(A28,B24:N51,11,FALSE)+L28)</f>
        <v/>
      </c>
      <c r="N28" s="155"/>
      <c r="S28" s="138">
        <f t="shared" si="3"/>
        <v>0</v>
      </c>
      <c r="T28" s="138">
        <f t="shared" si="4"/>
        <v>0</v>
      </c>
    </row>
    <row r="29" spans="1:20" ht="15">
      <c r="A29" s="167"/>
      <c r="B29" s="168"/>
      <c r="C29" s="169"/>
      <c r="D29" s="169"/>
      <c r="E29" s="170"/>
      <c r="F29" s="58" t="str">
        <f>IF(OR($D$6="",$D$12=""),"",IF(OR(D29&gt;$D$13,SUM($D$24:$D$50)&gt;$D$13,E29&gt;$D$14,SUM($E$24:$E$50)&gt;$D$14),"Rev. Total. abon/AP.",IF(D29="","",IF(OR($D$6="SAN CRISTOBAL",$D$6="FLOREANA"),VLOOKUP(D29,'Estratos SCY - FLO'!$A$4:$M$108,IF($D$12="A1",2,IF($D$12="A",5,IF($D$12="B",8,11))))+E29/(0.9*1000),VLOOKUP(D29,'Estratos SCX - ISA'!$A$3:$M$107,IF($D$12="A1",2,IF($D$12="A",5,IF($D$12="B",8,11))))+E29/(0.9*1000)))))</f>
        <v/>
      </c>
      <c r="G29" s="59" t="str">
        <f t="shared" si="1"/>
        <v/>
      </c>
      <c r="H29" s="183"/>
      <c r="I29" s="183"/>
      <c r="J29" s="59" t="str">
        <f>IF(OR(H29="",$D$10="",$N$10=""),"",IF($D$10="COBRE",VLOOKUP(CDV_EXIST_BT!H29,FDV!$B$16:$E$24,IF(CDV_EXIST_BT!$N$10="3F",3,4),FALSE),IF($D$10="ACS",VLOOKUP(CDV_EXIST_BT!H29,FDV!$B$10:$E$15,IF(CDV_EXIST_BT!$N$10="3F",3,4),FALSE),IF($D$10="5005 (PREENSAMBLADO)",VLOOKUP(CDV_EXIST_BT!H29,FDV!$B$4:$E$9,IF(CDV_EXIST_BT!$N$10="3F",3,4),FALSE),VLOOKUP(CDV_EXIST_BT!H29,FDV!$B$25:$E$30,IF(CDV_EXIST_BT!$N$10="3F",3,4),FALSE)))))</f>
        <v/>
      </c>
      <c r="K29" s="63" t="str">
        <f t="shared" si="0"/>
        <v/>
      </c>
      <c r="L29" s="62" t="str">
        <f t="shared" si="2"/>
        <v/>
      </c>
      <c r="M29" s="62" t="str">
        <f>IF(C29="","",VLOOKUP(A29,B24:N51,11,FALSE)+L29)</f>
        <v/>
      </c>
      <c r="N29" s="155"/>
      <c r="S29" s="138">
        <f t="shared" si="3"/>
        <v>0</v>
      </c>
      <c r="T29" s="138">
        <f t="shared" si="4"/>
        <v>0</v>
      </c>
    </row>
    <row r="30" spans="1:20" ht="15">
      <c r="A30" s="167"/>
      <c r="B30" s="168"/>
      <c r="C30" s="169"/>
      <c r="D30" s="169"/>
      <c r="E30" s="170"/>
      <c r="F30" s="58" t="str">
        <f>IF(OR($D$6="",$D$12=""),"",IF(OR(D30&gt;$D$13,SUM($D$24:$D$50)&gt;$D$13,E30&gt;$D$14,SUM($E$24:$E$50)&gt;$D$14),"Rev. Total. abon/AP.",IF(D30="","",IF(OR($D$6="SAN CRISTOBAL",$D$6="FLOREANA"),VLOOKUP(D30,'Estratos SCY - FLO'!$A$4:$M$108,IF($D$12="A1",2,IF($D$12="A",5,IF($D$12="B",8,11))))+E30/(0.9*1000),VLOOKUP(D30,'Estratos SCX - ISA'!$A$3:$M$107,IF($D$12="A1",2,IF($D$12="A",5,IF($D$12="B",8,11))))+E30/(0.9*1000)))))</f>
        <v/>
      </c>
      <c r="G30" s="59" t="str">
        <f t="shared" si="1"/>
        <v/>
      </c>
      <c r="H30" s="183"/>
      <c r="I30" s="183"/>
      <c r="J30" s="59" t="str">
        <f>IF(OR(H30="",$D$10="",$N$10=""),"",IF($D$10="COBRE",VLOOKUP(CDV_EXIST_BT!H30,FDV!$B$16:$E$24,IF(CDV_EXIST_BT!$N$10="3F",3,4),FALSE),IF($D$10="ACS",VLOOKUP(CDV_EXIST_BT!H30,FDV!$B$10:$E$15,IF(CDV_EXIST_BT!$N$10="3F",3,4),FALSE),IF($D$10="5005 (PREENSAMBLADO)",VLOOKUP(CDV_EXIST_BT!H30,FDV!$B$4:$E$9,IF(CDV_EXIST_BT!$N$10="3F",3,4),FALSE),VLOOKUP(CDV_EXIST_BT!H30,FDV!$B$25:$E$30,IF(CDV_EXIST_BT!$N$10="3F",3,4),FALSE)))))</f>
        <v/>
      </c>
      <c r="K30" s="63" t="str">
        <f t="shared" si="0"/>
        <v/>
      </c>
      <c r="L30" s="62" t="str">
        <f t="shared" si="2"/>
        <v/>
      </c>
      <c r="M30" s="62" t="str">
        <f>IF(C30="","",VLOOKUP(A30,B24:N51,11,FALSE)+L30)</f>
        <v/>
      </c>
      <c r="N30" s="155"/>
      <c r="S30" s="138">
        <f t="shared" si="3"/>
        <v>0</v>
      </c>
      <c r="T30" s="138">
        <f t="shared" si="4"/>
        <v>0</v>
      </c>
    </row>
    <row r="31" spans="1:20" ht="15">
      <c r="A31" s="167"/>
      <c r="B31" s="168"/>
      <c r="C31" s="169"/>
      <c r="D31" s="169"/>
      <c r="E31" s="170"/>
      <c r="F31" s="58" t="str">
        <f>IF(OR($D$6="",$D$12=""),"",IF(OR(D31&gt;$D$13,SUM($D$24:$D$50)&gt;$D$13,E31&gt;$D$14,SUM($E$24:$E$50)&gt;$D$14),"Rev. Total. abon/AP.",IF(D31="","",IF(OR($D$6="SAN CRISTOBAL",$D$6="FLOREANA"),VLOOKUP(D31,'Estratos SCY - FLO'!$A$4:$M$108,IF($D$12="A1",2,IF($D$12="A",5,IF($D$12="B",8,11))))+E31/(0.9*1000),VLOOKUP(D31,'Estratos SCX - ISA'!$A$3:$M$107,IF($D$12="A1",2,IF($D$12="A",5,IF($D$12="B",8,11))))+E31/(0.9*1000)))))</f>
        <v/>
      </c>
      <c r="G31" s="59" t="str">
        <f t="shared" si="1"/>
        <v/>
      </c>
      <c r="H31" s="183"/>
      <c r="I31" s="183"/>
      <c r="J31" s="59" t="str">
        <f>IF(OR(H31="",$D$10="",$N$10=""),"",IF($D$10="COBRE",VLOOKUP(CDV_EXIST_BT!H31,FDV!$B$16:$E$24,IF(CDV_EXIST_BT!$N$10="3F",3,4),FALSE),IF($D$10="ACS",VLOOKUP(CDV_EXIST_BT!H31,FDV!$B$10:$E$15,IF(CDV_EXIST_BT!$N$10="3F",3,4),FALSE),IF($D$10="5005 (PREENSAMBLADO)",VLOOKUP(CDV_EXIST_BT!H31,FDV!$B$4:$E$9,IF(CDV_EXIST_BT!$N$10="3F",3,4),FALSE),VLOOKUP(CDV_EXIST_BT!H31,FDV!$B$25:$E$30,IF(CDV_EXIST_BT!$N$10="3F",3,4),FALSE)))))</f>
        <v/>
      </c>
      <c r="K31" s="63" t="str">
        <f t="shared" si="0"/>
        <v/>
      </c>
      <c r="L31" s="62" t="str">
        <f t="shared" si="2"/>
        <v/>
      </c>
      <c r="M31" s="62" t="str">
        <f>IF(C31="","",VLOOKUP(A31,B24:N51,11,FALSE)+L31)</f>
        <v/>
      </c>
      <c r="N31" s="155"/>
      <c r="S31" s="138">
        <f t="shared" si="3"/>
        <v>0</v>
      </c>
      <c r="T31" s="138">
        <f t="shared" si="4"/>
        <v>0</v>
      </c>
    </row>
    <row r="32" spans="1:20" ht="15">
      <c r="A32" s="171"/>
      <c r="B32" s="172"/>
      <c r="C32" s="173"/>
      <c r="D32" s="173"/>
      <c r="E32" s="170"/>
      <c r="F32" s="58" t="str">
        <f>IF(OR($D$6="",$D$12=""),"",IF(OR(D32&gt;$D$13,SUM($D$24:$D$50)&gt;$D$13,E32&gt;$D$14,SUM($E$24:$E$50)&gt;$D$14),"Rev. Total. abon/AP.",IF(D32="","",IF(OR($D$6="SAN CRISTOBAL",$D$6="FLOREANA"),VLOOKUP(D32,'Estratos SCY - FLO'!$A$4:$M$108,IF($D$12="A1",2,IF($D$12="A",5,IF($D$12="B",8,11))))+E32/(0.9*1000),VLOOKUP(D32,'Estratos SCX - ISA'!$A$3:$M$107,IF($D$12="A1",2,IF($D$12="A",5,IF($D$12="B",8,11))))+E32/(0.9*1000)))))</f>
        <v/>
      </c>
      <c r="G32" s="59" t="str">
        <f t="shared" si="1"/>
        <v/>
      </c>
      <c r="H32" s="183"/>
      <c r="I32" s="183"/>
      <c r="J32" s="59" t="str">
        <f>IF(OR(H32="",$D$10="",$N$10=""),"",IF($D$10="COBRE",VLOOKUP(CDV_EXIST_BT!H32,FDV!$B$16:$E$24,IF(CDV_EXIST_BT!$N$10="3F",3,4),FALSE),IF($D$10="ACS",VLOOKUP(CDV_EXIST_BT!H32,FDV!$B$10:$E$15,IF(CDV_EXIST_BT!$N$10="3F",3,4),FALSE),IF($D$10="5005 (PREENSAMBLADO)",VLOOKUP(CDV_EXIST_BT!H32,FDV!$B$4:$E$9,IF(CDV_EXIST_BT!$N$10="3F",3,4),FALSE),VLOOKUP(CDV_EXIST_BT!H32,FDV!$B$25:$E$30,IF(CDV_EXIST_BT!$N$10="3F",3,4),FALSE)))))</f>
        <v/>
      </c>
      <c r="K32" s="63" t="str">
        <f t="shared" si="0"/>
        <v/>
      </c>
      <c r="L32" s="62" t="str">
        <f t="shared" si="2"/>
        <v/>
      </c>
      <c r="M32" s="62" t="str">
        <f>IF(C32="","",VLOOKUP(A32,B24:N51,11,FALSE)+L32)</f>
        <v/>
      </c>
      <c r="N32" s="155"/>
      <c r="S32" s="138">
        <f t="shared" si="3"/>
        <v>0</v>
      </c>
      <c r="T32" s="138">
        <f t="shared" si="4"/>
        <v>0</v>
      </c>
    </row>
    <row r="33" spans="1:20" ht="15">
      <c r="A33" s="167"/>
      <c r="B33" s="168"/>
      <c r="C33" s="169"/>
      <c r="D33" s="169"/>
      <c r="E33" s="174"/>
      <c r="F33" s="58" t="str">
        <f>IF(OR($D$6="",$D$12=""),"",IF(OR(D33&gt;$D$13,SUM($D$24:$D$50)&gt;$D$13,E33&gt;$D$14,SUM($E$24:$E$50)&gt;$D$14),"Rev. Total. abon/AP.",IF(D33="","",IF(OR($D$6="SAN CRISTOBAL",$D$6="FLOREANA"),VLOOKUP(D33,'Estratos SCY - FLO'!$A$4:$M$108,IF($D$12="A1",2,IF($D$12="A",5,IF($D$12="B",8,11))))+E33/(0.9*1000),VLOOKUP(D33,'Estratos SCX - ISA'!$A$3:$M$107,IF($D$12="A1",2,IF($D$12="A",5,IF($D$12="B",8,11))))+E33/(0.9*1000)))))</f>
        <v/>
      </c>
      <c r="G33" s="59" t="str">
        <f t="shared" si="1"/>
        <v/>
      </c>
      <c r="H33" s="183"/>
      <c r="I33" s="183"/>
      <c r="J33" s="59" t="str">
        <f>IF(OR(H33="",$D$10="",$N$10=""),"",IF($D$10="COBRE",VLOOKUP(CDV_EXIST_BT!H33,FDV!$B$16:$E$24,IF(CDV_EXIST_BT!$N$10="3F",3,4),FALSE),IF($D$10="ACS",VLOOKUP(CDV_EXIST_BT!H33,FDV!$B$10:$E$15,IF(CDV_EXIST_BT!$N$10="3F",3,4),FALSE),IF($D$10="5005 (PREENSAMBLADO)",VLOOKUP(CDV_EXIST_BT!H33,FDV!$B$4:$E$9,IF(CDV_EXIST_BT!$N$10="3F",3,4),FALSE),VLOOKUP(CDV_EXIST_BT!H33,FDV!$B$25:$E$30,IF(CDV_EXIST_BT!$N$10="3F",3,4),FALSE)))))</f>
        <v/>
      </c>
      <c r="K33" s="63" t="str">
        <f t="shared" si="0"/>
        <v/>
      </c>
      <c r="L33" s="62" t="str">
        <f t="shared" si="2"/>
        <v/>
      </c>
      <c r="M33" s="62" t="str">
        <f>IF(C33="","",VLOOKUP(A33,B24:N51,11,FALSE)+L33)</f>
        <v/>
      </c>
      <c r="N33" s="155"/>
      <c r="S33" s="138">
        <f t="shared" si="3"/>
        <v>0</v>
      </c>
      <c r="T33" s="138">
        <f t="shared" si="4"/>
        <v>0</v>
      </c>
    </row>
    <row r="34" spans="1:20" ht="15">
      <c r="A34" s="175"/>
      <c r="B34" s="176"/>
      <c r="C34" s="177"/>
      <c r="D34" s="177"/>
      <c r="E34" s="170"/>
      <c r="F34" s="58" t="str">
        <f>IF(OR($D$6="",$D$12=""),"",IF(OR(D34&gt;$D$13,SUM($D$24:$D$50)&gt;$D$13,E34&gt;$D$14,SUM($E$24:$E$50)&gt;$D$14),"Rev. Total. abon/AP.",IF(D34="","",IF(OR($D$6="SAN CRISTOBAL",$D$6="FLOREANA"),VLOOKUP(D34,'Estratos SCY - FLO'!$A$4:$M$108,IF($D$12="A1",2,IF($D$12="A",5,IF($D$12="B",8,11))))+E34/(0.9*1000),VLOOKUP(D34,'Estratos SCX - ISA'!$A$3:$M$107,IF($D$12="A1",2,IF($D$12="A",5,IF($D$12="B",8,11))))+E34/(0.9*1000)))))</f>
        <v/>
      </c>
      <c r="G34" s="59" t="str">
        <f t="shared" si="1"/>
        <v/>
      </c>
      <c r="H34" s="183"/>
      <c r="I34" s="183"/>
      <c r="J34" s="59" t="str">
        <f>IF(OR(H34="",$D$10="",$N$10=""),"",IF($D$10="COBRE",VLOOKUP(CDV_EXIST_BT!H34,FDV!$B$16:$E$24,IF(CDV_EXIST_BT!$N$10="3F",3,4),FALSE),IF($D$10="ACS",VLOOKUP(CDV_EXIST_BT!H34,FDV!$B$10:$E$15,IF(CDV_EXIST_BT!$N$10="3F",3,4),FALSE),IF($D$10="5005 (PREENSAMBLADO)",VLOOKUP(CDV_EXIST_BT!H34,FDV!$B$4:$E$9,IF(CDV_EXIST_BT!$N$10="3F",3,4),FALSE),VLOOKUP(CDV_EXIST_BT!H34,FDV!$B$25:$E$30,IF(CDV_EXIST_BT!$N$10="3F",3,4),FALSE)))))</f>
        <v/>
      </c>
      <c r="K34" s="63" t="str">
        <f t="shared" si="0"/>
        <v/>
      </c>
      <c r="L34" s="62" t="str">
        <f t="shared" si="2"/>
        <v/>
      </c>
      <c r="M34" s="62" t="str">
        <f>IF(C34="","",VLOOKUP(A34,B24:N51,11,FALSE)+L34)</f>
        <v/>
      </c>
      <c r="N34" s="155"/>
      <c r="S34" s="138">
        <f t="shared" si="3"/>
        <v>0</v>
      </c>
      <c r="T34" s="138">
        <f t="shared" si="4"/>
        <v>0</v>
      </c>
    </row>
    <row r="35" spans="1:20" ht="15">
      <c r="A35" s="167"/>
      <c r="B35" s="168"/>
      <c r="C35" s="169"/>
      <c r="D35" s="169"/>
      <c r="E35" s="170"/>
      <c r="F35" s="58" t="str">
        <f>IF(OR($D$6="",$D$12=""),"",IF(OR(D35&gt;$D$13,SUM($D$24:$D$50)&gt;$D$13,E35&gt;$D$14,SUM($E$24:$E$50)&gt;$D$14),"Rev. Total. abon/AP.",IF(D35="","",IF(OR($D$6="SAN CRISTOBAL",$D$6="FLOREANA"),VLOOKUP(D35,'Estratos SCY - FLO'!$A$4:$M$108,IF($D$12="A1",2,IF($D$12="A",5,IF($D$12="B",8,11))))+E35/(0.9*1000),VLOOKUP(D35,'Estratos SCX - ISA'!$A$3:$M$107,IF($D$12="A1",2,IF($D$12="A",5,IF($D$12="B",8,11))))+E35/(0.9*1000)))))</f>
        <v/>
      </c>
      <c r="G35" s="59" t="str">
        <f t="shared" si="1"/>
        <v/>
      </c>
      <c r="H35" s="183"/>
      <c r="I35" s="183"/>
      <c r="J35" s="59" t="str">
        <f>IF(OR(H35="",$D$10="",$N$10=""),"",IF($D$10="COBRE",VLOOKUP(CDV_EXIST_BT!H35,FDV!$B$16:$E$24,IF(CDV_EXIST_BT!$N$10="3F",3,4),FALSE),IF($D$10="ACS",VLOOKUP(CDV_EXIST_BT!H35,FDV!$B$10:$E$15,IF(CDV_EXIST_BT!$N$10="3F",3,4),FALSE),IF($D$10="5005 (PREENSAMBLADO)",VLOOKUP(CDV_EXIST_BT!H35,FDV!$B$4:$E$9,IF(CDV_EXIST_BT!$N$10="3F",3,4),FALSE),VLOOKUP(CDV_EXIST_BT!H35,FDV!$B$25:$E$30,IF(CDV_EXIST_BT!$N$10="3F",3,4),FALSE)))))</f>
        <v/>
      </c>
      <c r="K35" s="63" t="str">
        <f t="shared" si="0"/>
        <v/>
      </c>
      <c r="L35" s="62" t="str">
        <f t="shared" si="2"/>
        <v/>
      </c>
      <c r="M35" s="62" t="str">
        <f>IF(C35="","",VLOOKUP(A35,B24:N51,11,FALSE)+L35)</f>
        <v/>
      </c>
      <c r="N35" s="155"/>
      <c r="S35" s="138">
        <f t="shared" si="3"/>
        <v>0</v>
      </c>
      <c r="T35" s="138">
        <f t="shared" si="4"/>
        <v>0</v>
      </c>
    </row>
    <row r="36" spans="1:20" ht="15">
      <c r="A36" s="167"/>
      <c r="B36" s="168"/>
      <c r="C36" s="169"/>
      <c r="D36" s="169"/>
      <c r="E36" s="170"/>
      <c r="F36" s="58" t="str">
        <f>IF(OR($D$6="",$D$12=""),"",IF(OR(D36&gt;$D$13,SUM($D$24:$D$50)&gt;$D$13,E36&gt;$D$14,SUM($E$24:$E$50)&gt;$D$14),"Rev. Total. abon/AP.",IF(D36="","",IF(OR($D$6="SAN CRISTOBAL",$D$6="FLOREANA"),VLOOKUP(D36,'Estratos SCY - FLO'!$A$4:$M$108,IF($D$12="A1",2,IF($D$12="A",5,IF($D$12="B",8,11))))+E36/(0.9*1000),VLOOKUP(D36,'Estratos SCX - ISA'!$A$3:$M$107,IF($D$12="A1",2,IF($D$12="A",5,IF($D$12="B",8,11))))+E36/(0.9*1000)))))</f>
        <v/>
      </c>
      <c r="G36" s="59" t="str">
        <f t="shared" si="1"/>
        <v/>
      </c>
      <c r="H36" s="183"/>
      <c r="I36" s="183"/>
      <c r="J36" s="59" t="str">
        <f>IF(OR(H36="",$D$10="",$N$10=""),"",IF($D$10="COBRE",VLOOKUP(CDV_EXIST_BT!H36,FDV!$B$16:$E$24,IF(CDV_EXIST_BT!$N$10="3F",3,4),FALSE),IF($D$10="ACS",VLOOKUP(CDV_EXIST_BT!H36,FDV!$B$10:$E$15,IF(CDV_EXIST_BT!$N$10="3F",3,4),FALSE),IF($D$10="5005 (PREENSAMBLADO)",VLOOKUP(CDV_EXIST_BT!H36,FDV!$B$4:$E$9,IF(CDV_EXIST_BT!$N$10="3F",3,4),FALSE),VLOOKUP(CDV_EXIST_BT!H36,FDV!$B$25:$E$30,IF(CDV_EXIST_BT!$N$10="3F",3,4),FALSE)))))</f>
        <v/>
      </c>
      <c r="K36" s="63" t="str">
        <f t="shared" si="0"/>
        <v/>
      </c>
      <c r="L36" s="62" t="str">
        <f t="shared" si="2"/>
        <v/>
      </c>
      <c r="M36" s="62" t="str">
        <f>IF(C36="","",VLOOKUP(A36,B24:N51,11,FALSE)+L36)</f>
        <v/>
      </c>
      <c r="N36" s="155"/>
      <c r="S36" s="138">
        <f t="shared" si="3"/>
        <v>0</v>
      </c>
      <c r="T36" s="138">
        <f t="shared" si="4"/>
        <v>0</v>
      </c>
    </row>
    <row r="37" spans="1:20" ht="15">
      <c r="A37" s="167"/>
      <c r="B37" s="168"/>
      <c r="C37" s="169"/>
      <c r="D37" s="169"/>
      <c r="E37" s="170"/>
      <c r="F37" s="58" t="str">
        <f>IF(OR($D$6="",$D$12=""),"",IF(OR(D37&gt;$D$13,SUM($D$24:$D$50)&gt;$D$13,E37&gt;$D$14,SUM($E$24:$E$50)&gt;$D$14),"Rev. Total. abon/AP.",IF(D37="","",IF(OR($D$6="SAN CRISTOBAL",$D$6="FLOREANA"),VLOOKUP(D37,'Estratos SCY - FLO'!$A$4:$M$108,IF($D$12="A1",2,IF($D$12="A",5,IF($D$12="B",8,11))))+E37/(0.9*1000),VLOOKUP(D37,'Estratos SCX - ISA'!$A$3:$M$107,IF($D$12="A1",2,IF($D$12="A",5,IF($D$12="B",8,11))))+E37/(0.9*1000)))))</f>
        <v/>
      </c>
      <c r="G37" s="59" t="str">
        <f t="shared" si="1"/>
        <v/>
      </c>
      <c r="H37" s="183"/>
      <c r="I37" s="183"/>
      <c r="J37" s="59" t="str">
        <f>IF(OR(H37="",$D$10="",$N$10=""),"",IF($D$10="COBRE",VLOOKUP(CDV_EXIST_BT!H37,FDV!$B$16:$E$24,IF(CDV_EXIST_BT!$N$10="3F",3,4),FALSE),IF($D$10="ACS",VLOOKUP(CDV_EXIST_BT!H37,FDV!$B$10:$E$15,IF(CDV_EXIST_BT!$N$10="3F",3,4),FALSE),IF($D$10="5005 (PREENSAMBLADO)",VLOOKUP(CDV_EXIST_BT!H37,FDV!$B$4:$E$9,IF(CDV_EXIST_BT!$N$10="3F",3,4),FALSE),VLOOKUP(CDV_EXIST_BT!H37,FDV!$B$25:$E$30,IF(CDV_EXIST_BT!$N$10="3F",3,4),FALSE)))))</f>
        <v/>
      </c>
      <c r="K37" s="63" t="str">
        <f t="shared" si="0"/>
        <v/>
      </c>
      <c r="L37" s="62" t="str">
        <f t="shared" si="2"/>
        <v/>
      </c>
      <c r="M37" s="62" t="str">
        <f>IF(C37="","",VLOOKUP(A37,B24:N51,11,FALSE)+L37)</f>
        <v/>
      </c>
      <c r="N37" s="155"/>
      <c r="S37" s="138">
        <f t="shared" si="3"/>
        <v>0</v>
      </c>
      <c r="T37" s="138">
        <f t="shared" si="4"/>
        <v>0</v>
      </c>
    </row>
    <row r="38" spans="1:20" ht="15">
      <c r="A38" s="167"/>
      <c r="B38" s="168"/>
      <c r="C38" s="169"/>
      <c r="D38" s="169"/>
      <c r="E38" s="170"/>
      <c r="F38" s="58" t="str">
        <f>IF(OR($D$6="",$D$12=""),"",IF(OR(D38&gt;$D$13,SUM($D$24:$D$50)&gt;$D$13,E38&gt;$D$14,SUM($E$24:$E$50)&gt;$D$14),"Rev. Total. abon/AP.",IF(D38="","",IF(OR($D$6="SAN CRISTOBAL",$D$6="FLOREANA"),VLOOKUP(D38,'Estratos SCY - FLO'!$A$4:$M$108,IF($D$12="A1",2,IF($D$12="A",5,IF($D$12="B",8,11))))+E38/(0.9*1000),VLOOKUP(D38,'Estratos SCX - ISA'!$A$3:$M$107,IF($D$12="A1",2,IF($D$12="A",5,IF($D$12="B",8,11))))+E38/(0.9*1000)))))</f>
        <v/>
      </c>
      <c r="G38" s="59" t="str">
        <f t="shared" si="1"/>
        <v/>
      </c>
      <c r="H38" s="183"/>
      <c r="I38" s="183"/>
      <c r="J38" s="59" t="str">
        <f>IF(OR(H38="",$D$10="",$N$10=""),"",IF($D$10="COBRE",VLOOKUP(CDV_EXIST_BT!H38,FDV!$B$16:$E$24,IF(CDV_EXIST_BT!$N$10="3F",3,4),FALSE),IF($D$10="ACS",VLOOKUP(CDV_EXIST_BT!H38,FDV!$B$10:$E$15,IF(CDV_EXIST_BT!$N$10="3F",3,4),FALSE),IF($D$10="5005 (PREENSAMBLADO)",VLOOKUP(CDV_EXIST_BT!H38,FDV!$B$4:$E$9,IF(CDV_EXIST_BT!$N$10="3F",3,4),FALSE),VLOOKUP(CDV_EXIST_BT!H38,FDV!$B$25:$E$30,IF(CDV_EXIST_BT!$N$10="3F",3,4),FALSE)))))</f>
        <v/>
      </c>
      <c r="K38" s="63" t="str">
        <f t="shared" si="0"/>
        <v/>
      </c>
      <c r="L38" s="62" t="str">
        <f t="shared" si="2"/>
        <v/>
      </c>
      <c r="M38" s="62" t="str">
        <f>IF(C38="","",VLOOKUP(A38,B24:N51,11,FALSE)+L38)</f>
        <v/>
      </c>
      <c r="N38" s="155"/>
      <c r="S38" s="138">
        <f t="shared" si="3"/>
        <v>0</v>
      </c>
      <c r="T38" s="138">
        <f t="shared" si="4"/>
        <v>0</v>
      </c>
    </row>
    <row r="39" spans="1:20" ht="15">
      <c r="A39" s="167"/>
      <c r="B39" s="168"/>
      <c r="C39" s="169"/>
      <c r="D39" s="169"/>
      <c r="E39" s="170"/>
      <c r="F39" s="58" t="str">
        <f>IF(OR($D$6="",$D$12=""),"",IF(OR(D39&gt;$D$13,SUM($D$24:$D$50)&gt;$D$13,E39&gt;$D$14,SUM($E$24:$E$50)&gt;$D$14),"Rev. Total. abon/AP.",IF(D39="","",IF(OR($D$6="SAN CRISTOBAL",$D$6="FLOREANA"),VLOOKUP(D39,'Estratos SCY - FLO'!$A$4:$M$108,IF($D$12="A1",2,IF($D$12="A",5,IF($D$12="B",8,11))))+E39/(0.9*1000),VLOOKUP(D39,'Estratos SCX - ISA'!$A$3:$M$107,IF($D$12="A1",2,IF($D$12="A",5,IF($D$12="B",8,11))))+E39/(0.9*1000)))))</f>
        <v/>
      </c>
      <c r="G39" s="59" t="str">
        <f t="shared" si="1"/>
        <v/>
      </c>
      <c r="H39" s="183"/>
      <c r="I39" s="183"/>
      <c r="J39" s="59" t="str">
        <f>IF(OR(H39="",$D$10="",$N$10=""),"",IF($D$10="COBRE",VLOOKUP(CDV_EXIST_BT!H39,FDV!$B$16:$E$24,IF(CDV_EXIST_BT!$N$10="3F",3,4),FALSE),IF($D$10="ACS",VLOOKUP(CDV_EXIST_BT!H39,FDV!$B$10:$E$15,IF(CDV_EXIST_BT!$N$10="3F",3,4),FALSE),IF($D$10="5005 (PREENSAMBLADO)",VLOOKUP(CDV_EXIST_BT!H39,FDV!$B$4:$E$9,IF(CDV_EXIST_BT!$N$10="3F",3,4),FALSE),VLOOKUP(CDV_EXIST_BT!H39,FDV!$B$25:$E$30,IF(CDV_EXIST_BT!$N$10="3F",3,4),FALSE)))))</f>
        <v/>
      </c>
      <c r="K39" s="63" t="str">
        <f t="shared" si="0"/>
        <v/>
      </c>
      <c r="L39" s="62" t="str">
        <f t="shared" si="2"/>
        <v/>
      </c>
      <c r="M39" s="62" t="str">
        <f>IF(C39="","",VLOOKUP(A39,B24:N51,11,FALSE)+L39)</f>
        <v/>
      </c>
      <c r="N39" s="155"/>
      <c r="S39" s="138">
        <f t="shared" si="3"/>
        <v>0</v>
      </c>
      <c r="T39" s="138">
        <f t="shared" si="4"/>
        <v>0</v>
      </c>
    </row>
    <row r="40" spans="1:20" ht="15">
      <c r="A40" s="167"/>
      <c r="B40" s="168"/>
      <c r="C40" s="169"/>
      <c r="D40" s="169"/>
      <c r="E40" s="170"/>
      <c r="F40" s="58" t="str">
        <f>IF(OR($D$6="",$D$12=""),"",IF(OR(D40&gt;$D$13,SUM($D$24:$D$50)&gt;$D$13,E40&gt;$D$14,SUM($E$24:$E$50)&gt;$D$14),"Rev. Total. abon/AP.",IF(D40="","",IF(OR($D$6="SAN CRISTOBAL",$D$6="FLOREANA"),VLOOKUP(D40,'Estratos SCY - FLO'!$A$4:$M$108,IF($D$12="A1",2,IF($D$12="A",5,IF($D$12="B",8,11))))+E40/(0.9*1000),VLOOKUP(D40,'Estratos SCX - ISA'!$A$3:$M$107,IF($D$12="A1",2,IF($D$12="A",5,IF($D$12="B",8,11))))+E40/(0.9*1000)))))</f>
        <v/>
      </c>
      <c r="G40" s="59" t="str">
        <f t="shared" si="1"/>
        <v/>
      </c>
      <c r="H40" s="183"/>
      <c r="I40" s="183"/>
      <c r="J40" s="59" t="str">
        <f>IF(OR(H40="",$D$10="",$N$10=""),"",IF($D$10="COBRE",VLOOKUP(CDV_EXIST_BT!H40,FDV!$B$16:$E$24,IF(CDV_EXIST_BT!$N$10="3F",3,4),FALSE),IF($D$10="ACS",VLOOKUP(CDV_EXIST_BT!H40,FDV!$B$10:$E$15,IF(CDV_EXIST_BT!$N$10="3F",3,4),FALSE),IF($D$10="5005 (PREENSAMBLADO)",VLOOKUP(CDV_EXIST_BT!H40,FDV!$B$4:$E$9,IF(CDV_EXIST_BT!$N$10="3F",3,4),FALSE),VLOOKUP(CDV_EXIST_BT!H40,FDV!$B$25:$E$30,IF(CDV_EXIST_BT!$N$10="3F",3,4),FALSE)))))</f>
        <v/>
      </c>
      <c r="K40" s="63" t="str">
        <f t="shared" si="0"/>
        <v/>
      </c>
      <c r="L40" s="62" t="str">
        <f t="shared" si="2"/>
        <v/>
      </c>
      <c r="M40" s="62" t="str">
        <f>IF(C40="","",VLOOKUP(A40,B24:N51,11,FALSE)+L40)</f>
        <v/>
      </c>
      <c r="N40" s="155"/>
      <c r="S40" s="138">
        <f t="shared" si="3"/>
        <v>0</v>
      </c>
      <c r="T40" s="138">
        <f t="shared" si="4"/>
        <v>0</v>
      </c>
    </row>
    <row r="41" spans="1:20" ht="15">
      <c r="A41" s="167"/>
      <c r="B41" s="168"/>
      <c r="C41" s="169"/>
      <c r="D41" s="169"/>
      <c r="E41" s="170"/>
      <c r="F41" s="58" t="str">
        <f>IF(OR($D$6="",$D$12=""),"",IF(OR(D41&gt;$D$13,SUM($D$24:$D$50)&gt;$D$13,E41&gt;$D$14,SUM($E$24:$E$50)&gt;$D$14),"Rev. Total. abon/AP.",IF(D41="","",IF(OR($D$6="SAN CRISTOBAL",$D$6="FLOREANA"),VLOOKUP(D41,'Estratos SCY - FLO'!$A$4:$M$108,IF($D$12="A1",2,IF($D$12="A",5,IF($D$12="B",8,11))))+E41/(0.9*1000),VLOOKUP(D41,'Estratos SCX - ISA'!$A$3:$M$107,IF($D$12="A1",2,IF($D$12="A",5,IF($D$12="B",8,11))))+E41/(0.9*1000)))))</f>
        <v/>
      </c>
      <c r="G41" s="59" t="str">
        <f t="shared" si="1"/>
        <v/>
      </c>
      <c r="H41" s="183"/>
      <c r="I41" s="183"/>
      <c r="J41" s="59" t="str">
        <f>IF(OR(H41="",$D$10="",$N$10=""),"",IF($D$10="COBRE",VLOOKUP(CDV_EXIST_BT!H41,FDV!$B$16:$E$24,IF(CDV_EXIST_BT!$N$10="3F",3,4),FALSE),IF($D$10="ACS",VLOOKUP(CDV_EXIST_BT!H41,FDV!$B$10:$E$15,IF(CDV_EXIST_BT!$N$10="3F",3,4),FALSE),IF($D$10="5005 (PREENSAMBLADO)",VLOOKUP(CDV_EXIST_BT!H41,FDV!$B$4:$E$9,IF(CDV_EXIST_BT!$N$10="3F",3,4),FALSE),VLOOKUP(CDV_EXIST_BT!H41,FDV!$B$25:$E$30,IF(CDV_EXIST_BT!$N$10="3F",3,4),FALSE)))))</f>
        <v/>
      </c>
      <c r="K41" s="63" t="str">
        <f t="shared" si="0"/>
        <v/>
      </c>
      <c r="L41" s="62" t="str">
        <f t="shared" si="2"/>
        <v/>
      </c>
      <c r="M41" s="62" t="str">
        <f>IF(C41="","",VLOOKUP(A41,B24:N51,11,FALSE)+L41)</f>
        <v/>
      </c>
      <c r="N41" s="155"/>
      <c r="S41" s="138">
        <f t="shared" si="3"/>
        <v>0</v>
      </c>
      <c r="T41" s="138">
        <f t="shared" si="4"/>
        <v>0</v>
      </c>
    </row>
    <row r="42" spans="1:20" ht="15">
      <c r="A42" s="167"/>
      <c r="B42" s="168"/>
      <c r="C42" s="169"/>
      <c r="D42" s="169"/>
      <c r="E42" s="170"/>
      <c r="F42" s="58" t="str">
        <f>IF(OR($D$6="",$D$12=""),"",IF(OR(D42&gt;$D$13,SUM($D$24:$D$50)&gt;$D$13,E42&gt;$D$14,SUM($E$24:$E$50)&gt;$D$14),"Rev. Total. abon/AP.",IF(D42="","",IF(OR($D$6="SAN CRISTOBAL",$D$6="FLOREANA"),VLOOKUP(D42,'Estratos SCY - FLO'!$A$4:$M$108,IF($D$12="A1",2,IF($D$12="A",5,IF($D$12="B",8,11))))+E42/(0.9*1000),VLOOKUP(D42,'Estratos SCX - ISA'!$A$3:$M$107,IF($D$12="A1",2,IF($D$12="A",5,IF($D$12="B",8,11))))+E42/(0.9*1000)))))</f>
        <v/>
      </c>
      <c r="G42" s="59" t="str">
        <f t="shared" si="1"/>
        <v/>
      </c>
      <c r="H42" s="183"/>
      <c r="I42" s="183"/>
      <c r="J42" s="59" t="str">
        <f>IF(OR(H42="",$D$10="",$N$10=""),"",IF($D$10="COBRE",VLOOKUP(CDV_EXIST_BT!H42,FDV!$B$16:$E$24,IF(CDV_EXIST_BT!$N$10="3F",3,4),FALSE),IF($D$10="ACS",VLOOKUP(CDV_EXIST_BT!H42,FDV!$B$10:$E$15,IF(CDV_EXIST_BT!$N$10="3F",3,4),FALSE),IF($D$10="5005 (PREENSAMBLADO)",VLOOKUP(CDV_EXIST_BT!H42,FDV!$B$4:$E$9,IF(CDV_EXIST_BT!$N$10="3F",3,4),FALSE),VLOOKUP(CDV_EXIST_BT!H42,FDV!$B$25:$E$30,IF(CDV_EXIST_BT!$N$10="3F",3,4),FALSE)))))</f>
        <v/>
      </c>
      <c r="K42" s="63" t="str">
        <f t="shared" si="0"/>
        <v/>
      </c>
      <c r="L42" s="62" t="str">
        <f t="shared" si="2"/>
        <v/>
      </c>
      <c r="M42" s="62" t="str">
        <f>IF(C42="","",VLOOKUP(A42,B24:N51,11,FALSE)+L42)</f>
        <v/>
      </c>
      <c r="N42" s="155"/>
      <c r="S42" s="138">
        <f t="shared" si="3"/>
        <v>0</v>
      </c>
      <c r="T42" s="138">
        <f t="shared" si="4"/>
        <v>0</v>
      </c>
    </row>
    <row r="43" spans="1:20" ht="15">
      <c r="A43" s="167"/>
      <c r="B43" s="168"/>
      <c r="C43" s="169"/>
      <c r="D43" s="169"/>
      <c r="E43" s="170"/>
      <c r="F43" s="58" t="str">
        <f>IF(OR($D$6="",$D$12=""),"",IF(OR(D43&gt;$D$13,SUM($D$24:$D$50)&gt;$D$13,E43&gt;$D$14,SUM($E$24:$E$50)&gt;$D$14),"Rev. Total. abon/AP.",IF(D43="","",IF(OR($D$6="SAN CRISTOBAL",$D$6="FLOREANA"),VLOOKUP(D43,'Estratos SCY - FLO'!$A$4:$M$108,IF($D$12="A1",2,IF($D$12="A",5,IF($D$12="B",8,11))))+E43/(0.9*1000),VLOOKUP(D43,'Estratos SCX - ISA'!$A$3:$M$107,IF($D$12="A1",2,IF($D$12="A",5,IF($D$12="B",8,11))))+E43/(0.9*1000)))))</f>
        <v/>
      </c>
      <c r="G43" s="59" t="str">
        <f t="shared" si="1"/>
        <v/>
      </c>
      <c r="H43" s="183"/>
      <c r="I43" s="183"/>
      <c r="J43" s="59" t="str">
        <f>IF(OR(H43="",$D$10="",$N$10=""),"",IF($D$10="COBRE",VLOOKUP(CDV_EXIST_BT!H43,FDV!$B$16:$E$24,IF(CDV_EXIST_BT!$N$10="3F",3,4),FALSE),IF($D$10="ACS",VLOOKUP(CDV_EXIST_BT!H43,FDV!$B$10:$E$15,IF(CDV_EXIST_BT!$N$10="3F",3,4),FALSE),IF($D$10="5005 (PREENSAMBLADO)",VLOOKUP(CDV_EXIST_BT!H43,FDV!$B$4:$E$9,IF(CDV_EXIST_BT!$N$10="3F",3,4),FALSE),VLOOKUP(CDV_EXIST_BT!H43,FDV!$B$25:$E$30,IF(CDV_EXIST_BT!$N$10="3F",3,4),FALSE)))))</f>
        <v/>
      </c>
      <c r="K43" s="63" t="str">
        <f t="shared" si="0"/>
        <v/>
      </c>
      <c r="L43" s="62" t="str">
        <f t="shared" si="2"/>
        <v/>
      </c>
      <c r="M43" s="62" t="str">
        <f>IF(C43="","",VLOOKUP(A43,B24:N51,11,FALSE)+L43)</f>
        <v/>
      </c>
      <c r="N43" s="155"/>
      <c r="S43" s="138">
        <f t="shared" si="3"/>
        <v>0</v>
      </c>
      <c r="T43" s="138">
        <f t="shared" si="4"/>
        <v>0</v>
      </c>
    </row>
    <row r="44" spans="1:20" ht="15">
      <c r="A44" s="167"/>
      <c r="B44" s="168"/>
      <c r="C44" s="169"/>
      <c r="D44" s="169"/>
      <c r="E44" s="170"/>
      <c r="F44" s="58" t="str">
        <f>IF(OR($D$6="",$D$12=""),"",IF(OR(D44&gt;$D$13,SUM($D$24:$D$50)&gt;$D$13,E44&gt;$D$14,SUM($E$24:$E$50)&gt;$D$14),"Rev. Total. abon/AP.",IF(D44="","",IF(OR($D$6="SAN CRISTOBAL",$D$6="FLOREANA"),VLOOKUP(D44,'Estratos SCY - FLO'!$A$4:$M$108,IF($D$12="A1",2,IF($D$12="A",5,IF($D$12="B",8,11))))+E44/(0.9*1000),VLOOKUP(D44,'Estratos SCX - ISA'!$A$3:$M$107,IF($D$12="A1",2,IF($D$12="A",5,IF($D$12="B",8,11))))+E44/(0.9*1000)))))</f>
        <v/>
      </c>
      <c r="G44" s="59" t="str">
        <f t="shared" si="1"/>
        <v/>
      </c>
      <c r="H44" s="183"/>
      <c r="I44" s="183"/>
      <c r="J44" s="59" t="str">
        <f>IF(OR(H44="",$D$10="",$N$10=""),"",IF($D$10="COBRE",VLOOKUP(CDV_EXIST_BT!H44,FDV!$B$16:$E$24,IF(CDV_EXIST_BT!$N$10="3F",3,4),FALSE),IF($D$10="ACS",VLOOKUP(CDV_EXIST_BT!H44,FDV!$B$10:$E$15,IF(CDV_EXIST_BT!$N$10="3F",3,4),FALSE),IF($D$10="5005 (PREENSAMBLADO)",VLOOKUP(CDV_EXIST_BT!H44,FDV!$B$4:$E$9,IF(CDV_EXIST_BT!$N$10="3F",3,4),FALSE),VLOOKUP(CDV_EXIST_BT!H44,FDV!$B$25:$E$30,IF(CDV_EXIST_BT!$N$10="3F",3,4),FALSE)))))</f>
        <v/>
      </c>
      <c r="K44" s="63" t="str">
        <f t="shared" si="0"/>
        <v/>
      </c>
      <c r="L44" s="62" t="str">
        <f t="shared" si="2"/>
        <v/>
      </c>
      <c r="M44" s="62" t="str">
        <f>IF(C44="","",VLOOKUP(A44,B24:N51,11,FALSE)+L44)</f>
        <v/>
      </c>
      <c r="N44" s="155"/>
      <c r="S44" s="138">
        <f t="shared" si="3"/>
        <v>0</v>
      </c>
      <c r="T44" s="138">
        <f t="shared" si="4"/>
        <v>0</v>
      </c>
    </row>
    <row r="45" spans="1:20" ht="15">
      <c r="A45" s="167"/>
      <c r="B45" s="168"/>
      <c r="C45" s="169"/>
      <c r="D45" s="169"/>
      <c r="E45" s="170"/>
      <c r="F45" s="58" t="str">
        <f>IF(OR($D$6="",$D$12=""),"",IF(OR(D45&gt;$D$13,SUM($D$24:$D$50)&gt;$D$13,E45&gt;$D$14,SUM($E$24:$E$50)&gt;$D$14),"Rev. Total. abon/AP.",IF(D45="","",IF(OR($D$6="SAN CRISTOBAL",$D$6="FLOREANA"),VLOOKUP(D45,'Estratos SCY - FLO'!$A$4:$M$108,IF($D$12="A1",2,IF($D$12="A",5,IF($D$12="B",8,11))))+E45/(0.9*1000),VLOOKUP(D45,'Estratos SCX - ISA'!$A$3:$M$107,IF($D$12="A1",2,IF($D$12="A",5,IF($D$12="B",8,11))))+E45/(0.9*1000)))))</f>
        <v/>
      </c>
      <c r="G45" s="59" t="str">
        <f t="shared" si="1"/>
        <v/>
      </c>
      <c r="H45" s="183"/>
      <c r="I45" s="183"/>
      <c r="J45" s="59" t="str">
        <f>IF(OR(H45="",$D$10="",$N$10=""),"",IF($D$10="COBRE",VLOOKUP(CDV_EXIST_BT!H45,FDV!$B$16:$E$24,IF(CDV_EXIST_BT!$N$10="3F",3,4),FALSE),IF($D$10="ACS",VLOOKUP(CDV_EXIST_BT!H45,FDV!$B$10:$E$15,IF(CDV_EXIST_BT!$N$10="3F",3,4),FALSE),IF($D$10="5005 (PREENSAMBLADO)",VLOOKUP(CDV_EXIST_BT!H45,FDV!$B$4:$E$9,IF(CDV_EXIST_BT!$N$10="3F",3,4),FALSE),VLOOKUP(CDV_EXIST_BT!H45,FDV!$B$25:$E$30,IF(CDV_EXIST_BT!$N$10="3F",3,4),FALSE)))))</f>
        <v/>
      </c>
      <c r="K45" s="63" t="str">
        <f t="shared" si="0"/>
        <v/>
      </c>
      <c r="L45" s="62" t="str">
        <f t="shared" si="2"/>
        <v/>
      </c>
      <c r="M45" s="62" t="str">
        <f>IF(C45="","",VLOOKUP(A45,B24:N51,11,FALSE)+L45)</f>
        <v/>
      </c>
      <c r="N45" s="155"/>
      <c r="S45" s="138">
        <f t="shared" si="3"/>
        <v>0</v>
      </c>
      <c r="T45" s="138">
        <f t="shared" si="4"/>
        <v>0</v>
      </c>
    </row>
    <row r="46" spans="1:20" ht="15">
      <c r="A46" s="167"/>
      <c r="B46" s="168"/>
      <c r="C46" s="169"/>
      <c r="D46" s="169"/>
      <c r="E46" s="170"/>
      <c r="F46" s="58" t="str">
        <f>IF(OR($D$6="",$D$12=""),"",IF(OR(D46&gt;$D$13,SUM($D$24:$D$50)&gt;$D$13,E46&gt;$D$14,SUM($E$24:$E$50)&gt;$D$14),"Rev. Total. abon/AP.",IF(D46="","",IF(OR($D$6="SAN CRISTOBAL",$D$6="FLOREANA"),VLOOKUP(D46,'Estratos SCY - FLO'!$A$4:$M$108,IF($D$12="A1",2,IF($D$12="A",5,IF($D$12="B",8,11))))+E46/(0.9*1000),VLOOKUP(D46,'Estratos SCX - ISA'!$A$3:$M$107,IF($D$12="A1",2,IF($D$12="A",5,IF($D$12="B",8,11))))+E46/(0.9*1000)))))</f>
        <v/>
      </c>
      <c r="G46" s="59" t="str">
        <f t="shared" si="1"/>
        <v/>
      </c>
      <c r="H46" s="183"/>
      <c r="I46" s="183"/>
      <c r="J46" s="59" t="str">
        <f>IF(OR(H46="",$D$10="",$N$10=""),"",IF($D$10="COBRE",VLOOKUP(CDV_EXIST_BT!H46,FDV!$B$16:$E$24,IF(CDV_EXIST_BT!$N$10="3F",3,4),FALSE),IF($D$10="ACS",VLOOKUP(CDV_EXIST_BT!H46,FDV!$B$10:$E$15,IF(CDV_EXIST_BT!$N$10="3F",3,4),FALSE),IF($D$10="5005 (PREENSAMBLADO)",VLOOKUP(CDV_EXIST_BT!H46,FDV!$B$4:$E$9,IF(CDV_EXIST_BT!$N$10="3F",3,4),FALSE),VLOOKUP(CDV_EXIST_BT!H46,FDV!$B$25:$E$30,IF(CDV_EXIST_BT!$N$10="3F",3,4),FALSE)))))</f>
        <v/>
      </c>
      <c r="K46" s="63" t="str">
        <f t="shared" si="0"/>
        <v/>
      </c>
      <c r="L46" s="62" t="str">
        <f t="shared" si="2"/>
        <v/>
      </c>
      <c r="M46" s="62" t="str">
        <f>IF(C46="","",VLOOKUP(A46,B24:N51,11,FALSE)+L46)</f>
        <v/>
      </c>
      <c r="N46" s="155"/>
      <c r="S46" s="138">
        <f t="shared" si="3"/>
        <v>0</v>
      </c>
      <c r="T46" s="138">
        <f t="shared" si="4"/>
        <v>0</v>
      </c>
    </row>
    <row r="47" spans="1:20" ht="15">
      <c r="A47" s="167"/>
      <c r="B47" s="168"/>
      <c r="C47" s="169"/>
      <c r="D47" s="169"/>
      <c r="E47" s="170"/>
      <c r="F47" s="58" t="str">
        <f>IF(OR($D$6="",$D$12=""),"",IF(OR(D47&gt;$D$13,SUM($D$24:$D$50)&gt;$D$13,E47&gt;$D$14,SUM($E$24:$E$50)&gt;$D$14),"Rev. Total. abon/AP.",IF(D47="","",IF(OR($D$6="SAN CRISTOBAL",$D$6="FLOREANA"),VLOOKUP(D47,'Estratos SCY - FLO'!$A$4:$M$108,IF($D$12="A1",2,IF($D$12="A",5,IF($D$12="B",8,11))))+E47/(0.9*1000),VLOOKUP(D47,'Estratos SCX - ISA'!$A$3:$M$107,IF($D$12="A1",2,IF($D$12="A",5,IF($D$12="B",8,11))))+E47/(0.9*1000)))))</f>
        <v/>
      </c>
      <c r="G47" s="59" t="str">
        <f t="shared" si="1"/>
        <v/>
      </c>
      <c r="H47" s="183"/>
      <c r="I47" s="183"/>
      <c r="J47" s="59" t="str">
        <f>IF(OR(H47="",$D$10="",$N$10=""),"",IF($D$10="COBRE",VLOOKUP(CDV_EXIST_BT!H47,FDV!$B$16:$E$24,IF(CDV_EXIST_BT!$N$10="3F",3,4),FALSE),IF($D$10="ACS",VLOOKUP(CDV_EXIST_BT!H47,FDV!$B$10:$E$15,IF(CDV_EXIST_BT!$N$10="3F",3,4),FALSE),IF($D$10="5005 (PREENSAMBLADO)",VLOOKUP(CDV_EXIST_BT!H47,FDV!$B$4:$E$9,IF(CDV_EXIST_BT!$N$10="3F",3,4),FALSE),VLOOKUP(CDV_EXIST_BT!H47,FDV!$B$25:$E$30,IF(CDV_EXIST_BT!$N$10="3F",3,4),FALSE)))))</f>
        <v/>
      </c>
      <c r="K47" s="63" t="str">
        <f t="shared" si="0"/>
        <v/>
      </c>
      <c r="L47" s="62" t="str">
        <f t="shared" si="2"/>
        <v/>
      </c>
      <c r="M47" s="62" t="str">
        <f>IF(C47="","",VLOOKUP(A47,B24:N51,11,FALSE)+L47)</f>
        <v/>
      </c>
      <c r="N47" s="155"/>
      <c r="S47" s="138">
        <f t="shared" si="3"/>
        <v>0</v>
      </c>
      <c r="T47" s="138">
        <f t="shared" si="4"/>
        <v>0</v>
      </c>
    </row>
    <row r="48" spans="1:20" ht="15">
      <c r="A48" s="167"/>
      <c r="B48" s="168"/>
      <c r="C48" s="169"/>
      <c r="D48" s="169"/>
      <c r="E48" s="170"/>
      <c r="F48" s="58" t="str">
        <f>IF(OR($D$6="",$D$12=""),"",IF(OR(D48&gt;$D$13,SUM($D$24:$D$50)&gt;$D$13,E48&gt;$D$14,SUM($E$24:$E$50)&gt;$D$14),"Rev. Total. abon/AP.",IF(D48="","",IF(OR($D$6="SAN CRISTOBAL",$D$6="FLOREANA"),VLOOKUP(D48,'Estratos SCY - FLO'!$A$4:$M$108,IF($D$12="A1",2,IF($D$12="A",5,IF($D$12="B",8,11))))+E48/(0.9*1000),VLOOKUP(D48,'Estratos SCX - ISA'!$A$3:$M$107,IF($D$12="A1",2,IF($D$12="A",5,IF($D$12="B",8,11))))+E48/(0.9*1000)))))</f>
        <v/>
      </c>
      <c r="G48" s="59" t="str">
        <f t="shared" si="1"/>
        <v/>
      </c>
      <c r="H48" s="183"/>
      <c r="I48" s="183"/>
      <c r="J48" s="59" t="str">
        <f>IF(OR(H48="",$D$10="",$N$10=""),"",IF($D$10="COBRE",VLOOKUP(CDV_EXIST_BT!H48,FDV!$B$16:$E$24,IF(CDV_EXIST_BT!$N$10="3F",3,4),FALSE),IF($D$10="ACS",VLOOKUP(CDV_EXIST_BT!H48,FDV!$B$10:$E$15,IF(CDV_EXIST_BT!$N$10="3F",3,4),FALSE),IF($D$10="5005 (PREENSAMBLADO)",VLOOKUP(CDV_EXIST_BT!H48,FDV!$B$4:$E$9,IF(CDV_EXIST_BT!$N$10="3F",3,4),FALSE),VLOOKUP(CDV_EXIST_BT!H48,FDV!$B$25:$E$30,IF(CDV_EXIST_BT!$N$10="3F",3,4),FALSE)))))</f>
        <v/>
      </c>
      <c r="K48" s="63" t="str">
        <f t="shared" si="0"/>
        <v/>
      </c>
      <c r="L48" s="62" t="str">
        <f t="shared" si="2"/>
        <v/>
      </c>
      <c r="M48" s="62" t="str">
        <f>IF(C48="","",VLOOKUP(A48,B24:N51,11,FALSE)+L48)</f>
        <v/>
      </c>
      <c r="N48" s="155"/>
      <c r="S48" s="138">
        <f t="shared" si="3"/>
        <v>0</v>
      </c>
      <c r="T48" s="138">
        <f t="shared" si="4"/>
        <v>0</v>
      </c>
    </row>
    <row r="49" spans="1:20" ht="15">
      <c r="A49" s="167"/>
      <c r="B49" s="168"/>
      <c r="C49" s="169"/>
      <c r="D49" s="169"/>
      <c r="E49" s="170"/>
      <c r="F49" s="58" t="str">
        <f>IF(OR($D$6="",$D$12=""),"",IF(OR(D49&gt;$D$13,SUM($D$24:$D$50)&gt;$D$13,E49&gt;$D$14,SUM($E$24:$E$50)&gt;$D$14),"Rev. Total. abon/AP.",IF(D49="","",IF(OR($D$6="SAN CRISTOBAL",$D$6="FLOREANA"),VLOOKUP(D49,'Estratos SCY - FLO'!$A$4:$M$108,IF($D$12="A1",2,IF($D$12="A",5,IF($D$12="B",8,11))))+E49/(0.9*1000),VLOOKUP(D49,'Estratos SCX - ISA'!$A$3:$M$107,IF($D$12="A1",2,IF($D$12="A",5,IF($D$12="B",8,11))))+E49/(0.9*1000)))))</f>
        <v/>
      </c>
      <c r="G49" s="59" t="str">
        <f t="shared" si="1"/>
        <v/>
      </c>
      <c r="H49" s="183"/>
      <c r="I49" s="183"/>
      <c r="J49" s="59" t="str">
        <f>IF(OR(H49="",$D$10="",$N$10=""),"",IF($D$10="COBRE",VLOOKUP(CDV_EXIST_BT!H49,FDV!$B$16:$E$24,IF(CDV_EXIST_BT!$N$10="3F",3,4),FALSE),IF($D$10="ACS",VLOOKUP(CDV_EXIST_BT!H49,FDV!$B$10:$E$15,IF(CDV_EXIST_BT!$N$10="3F",3,4),FALSE),IF($D$10="5005 (PREENSAMBLADO)",VLOOKUP(CDV_EXIST_BT!H49,FDV!$B$4:$E$9,IF(CDV_EXIST_BT!$N$10="3F",3,4),FALSE),VLOOKUP(CDV_EXIST_BT!H49,FDV!$B$25:$E$30,IF(CDV_EXIST_BT!$N$10="3F",3,4),FALSE)))))</f>
        <v/>
      </c>
      <c r="K49" s="63" t="str">
        <f t="shared" si="0"/>
        <v/>
      </c>
      <c r="L49" s="62" t="str">
        <f t="shared" si="2"/>
        <v/>
      </c>
      <c r="M49" s="62" t="str">
        <f>IF(C49="","",VLOOKUP(A49,B24:N51,11,FALSE)+L49)</f>
        <v/>
      </c>
      <c r="N49" s="156"/>
      <c r="S49" s="138">
        <f t="shared" si="3"/>
        <v>0</v>
      </c>
      <c r="T49" s="138">
        <f t="shared" si="4"/>
        <v>0</v>
      </c>
    </row>
    <row r="50" spans="1:20" ht="15.75" thickBot="1">
      <c r="A50" s="178"/>
      <c r="B50" s="179"/>
      <c r="C50" s="180"/>
      <c r="D50" s="180"/>
      <c r="E50" s="181"/>
      <c r="F50" s="68" t="str">
        <f>IF(OR($D$6="",$D$12=""),"",IF(OR(D50&gt;$D$13,SUM($D$24:$D$50)&gt;$D$13,E50&gt;$D$14,SUM($E$24:$E$50)&gt;$D$14),"Rev. Total. abon/AP.",IF(D50="","",IF(OR($D$6="SAN CRISTOBAL",$D$6="FLOREANA"),VLOOKUP(D50,'Estratos SCY - FLO'!$A$4:$M$108,IF($D$12="A1",2,IF($D$12="A",5,IF($D$12="B",8,11))))+E50/(0.9*1000),VLOOKUP(D50,'Estratos SCX - ISA'!$A$3:$M$107,IF($D$12="A1",2,IF($D$12="A",5,IF($D$12="B",8,11))))+E50/(0.9*1000)))))</f>
        <v/>
      </c>
      <c r="G50" s="69" t="str">
        <f t="shared" si="1"/>
        <v/>
      </c>
      <c r="H50" s="184"/>
      <c r="I50" s="184"/>
      <c r="J50" s="69" t="str">
        <f>IF(OR(H50="",$D$10="",$N$10=""),"",IF($D$10="COBRE",VLOOKUP(CDV_EXIST_BT!H50,FDV!$B$16:$E$24,IF(CDV_EXIST_BT!$N$10="3F",3,4),FALSE),IF($D$10="ACS",VLOOKUP(CDV_EXIST_BT!H50,FDV!$B$10:$E$15,IF(CDV_EXIST_BT!$N$10="3F",3,4),FALSE),IF($D$10="5005 (PREENSAMBLADO)",VLOOKUP(CDV_EXIST_BT!H50,FDV!$B$4:$E$9,IF(CDV_EXIST_BT!$N$10="3F",3,4),FALSE),VLOOKUP(CDV_EXIST_BT!H50,FDV!$B$25:$E$30,IF(CDV_EXIST_BT!$N$10="3F",3,4),FALSE)))))</f>
        <v/>
      </c>
      <c r="K50" s="65" t="str">
        <f t="shared" si="0"/>
        <v/>
      </c>
      <c r="L50" s="64" t="str">
        <f t="shared" si="2"/>
        <v/>
      </c>
      <c r="M50" s="64" t="str">
        <f>IF(C50="","",VLOOKUP(A50,B24:N51,11,FALSE)+L50)</f>
        <v/>
      </c>
      <c r="N50" s="157"/>
      <c r="S50" s="138">
        <f t="shared" si="3"/>
        <v>0</v>
      </c>
      <c r="T50" s="138">
        <f t="shared" si="4"/>
        <v>0</v>
      </c>
    </row>
    <row r="51" spans="1:20" ht="24" hidden="1" thickBot="1">
      <c r="A51" s="143"/>
      <c r="B51" s="67" t="str">
        <f>IF(N20="","",N20)</f>
        <v/>
      </c>
      <c r="C51" s="144"/>
      <c r="D51" s="144"/>
      <c r="E51" s="145"/>
      <c r="F51" s="68"/>
      <c r="G51" s="69" t="str">
        <f aca="true" t="shared" si="5" ref="G51">IF(OR($N$10="",D51=""),"",IF($N$10="1F",1,3))</f>
        <v/>
      </c>
      <c r="H51" s="146" t="str">
        <f>IF(B51="","",IF(B51-A51=1,H50,""))</f>
        <v/>
      </c>
      <c r="I51" s="146"/>
      <c r="J51" s="70" t="str">
        <f>IF(OR(H51="",$D$10="",$N$10=""),"",IF($D$10="COBRE",VLOOKUP(CDV_EXIST_BT!H51,FDV!$B$16:$E$24,IF(CDV_EXIST_BT!$N$10="3F",3,4),FALSE),IF($D$10="ACS",VLOOKUP(CDV_EXIST_BT!H51,FDV!$B$10:$E$15,IF(CDV_EXIST_BT!$N$10="3F",3,4),FALSE),IF($D$10="5005 (PREENSAMBLADO)",VLOOKUP(CDV_EXIST_BT!H51,FDV!$B$4:$E$9,IF(CDV_EXIST_BT!$N$10="3F",3,4),FALSE),VLOOKUP(CDV_EXIST_BT!H51,FDV!$B$25:$E$30,IF(CDV_EXIST_BT!$N$10="3F",3,4),FALSE)))))</f>
        <v/>
      </c>
      <c r="K51" s="71" t="str">
        <f t="shared" si="0"/>
        <v/>
      </c>
      <c r="L51" s="68" t="str">
        <f>IF(C51="","",ROUND(K51/J51,2))</f>
        <v/>
      </c>
      <c r="M51" s="72">
        <v>0</v>
      </c>
      <c r="N51" s="66"/>
      <c r="S51" s="138">
        <f aca="true" t="shared" si="6" ref="S51:S52">+IF(D51&gt;0,C51,0)</f>
        <v>0</v>
      </c>
      <c r="T51" s="138">
        <f t="shared" si="4"/>
        <v>0</v>
      </c>
    </row>
    <row r="52" spans="1:20" ht="15.75" thickBot="1">
      <c r="A52" s="73" t="s">
        <v>104</v>
      </c>
      <c r="B52" s="74"/>
      <c r="C52" s="75"/>
      <c r="D52" s="75"/>
      <c r="E52" s="76"/>
      <c r="F52" s="77"/>
      <c r="G52" s="78"/>
      <c r="H52" s="79"/>
      <c r="I52" s="79"/>
      <c r="J52" s="78"/>
      <c r="K52" s="76"/>
      <c r="L52" s="76"/>
      <c r="M52" s="128"/>
      <c r="N52" s="265"/>
      <c r="S52" s="138">
        <f t="shared" si="6"/>
        <v>0</v>
      </c>
      <c r="T52" s="138">
        <f aca="true" t="shared" si="7" ref="T52">IF(C52="",0,C52*G52)</f>
        <v>0</v>
      </c>
    </row>
    <row r="53" spans="1:14" ht="15.75" thickBot="1">
      <c r="A53" s="93" t="s">
        <v>96</v>
      </c>
      <c r="B53" s="94">
        <f>+ROUND(SUMIF(H24:H50,"4/0",T24:T52)*1.015,0)</f>
        <v>0</v>
      </c>
      <c r="C53" s="93" t="s">
        <v>97</v>
      </c>
      <c r="D53" s="94">
        <f>ROUND((SUMIF(H24:H50,"3/0",T24:T52))*1.015,0)</f>
        <v>0</v>
      </c>
      <c r="E53" s="82" t="s">
        <v>95</v>
      </c>
      <c r="F53" s="81">
        <f>ROUND((SUMIF(H24:H50,"2/0",T24:T52))*1.015,0)</f>
        <v>0</v>
      </c>
      <c r="G53" s="80" t="s">
        <v>57</v>
      </c>
      <c r="H53" s="81">
        <f>ROUND((SUMIF(H24:H50,"1/0",T24:T52))*1.015,0)</f>
        <v>0</v>
      </c>
      <c r="I53" s="80" t="s">
        <v>58</v>
      </c>
      <c r="J53" s="81">
        <f>ROUND((SUMIF(H24:H50,"2",T24:T52))*1.015,0)</f>
        <v>0</v>
      </c>
      <c r="K53" s="93" t="s">
        <v>103</v>
      </c>
      <c r="L53" s="125">
        <f>ROUND((SUMIF(H24:H50,"4",T24:T52))*1.015,0)</f>
        <v>0</v>
      </c>
      <c r="M53" s="147"/>
      <c r="N53" s="266"/>
    </row>
    <row r="54" spans="1:14" ht="15.75" thickBot="1">
      <c r="A54" s="119" t="s">
        <v>107</v>
      </c>
      <c r="B54" s="120"/>
      <c r="C54" s="114"/>
      <c r="D54" s="114"/>
      <c r="E54" s="121"/>
      <c r="F54" s="92"/>
      <c r="G54" s="91"/>
      <c r="H54" s="92"/>
      <c r="I54" s="92"/>
      <c r="J54" s="91"/>
      <c r="K54" s="92"/>
      <c r="L54" s="91"/>
      <c r="M54" s="92"/>
      <c r="N54" s="266"/>
    </row>
    <row r="55" spans="1:14" ht="15.75" thickBot="1">
      <c r="A55" s="93" t="s">
        <v>96</v>
      </c>
      <c r="B55" s="94">
        <f>+ROUND(SUMIF(I24:I50,"4/0",S24:S52)*1.015,0)</f>
        <v>0</v>
      </c>
      <c r="C55" s="93" t="s">
        <v>97</v>
      </c>
      <c r="D55" s="94">
        <f>ROUND((SUMIF(I24:I50,"3/0",S24:S52))*1.015,0)</f>
        <v>0</v>
      </c>
      <c r="E55" s="93" t="s">
        <v>95</v>
      </c>
      <c r="F55" s="94">
        <f>ROUND((SUMIF(I24:I50,"2/0",S24:S52))*1.015,0)</f>
        <v>0</v>
      </c>
      <c r="G55" s="93" t="s">
        <v>57</v>
      </c>
      <c r="H55" s="94">
        <f>ROUND((SUMIF(I24:I50,"1/0",S24:S52))*1.015,0)</f>
        <v>0</v>
      </c>
      <c r="I55" s="93" t="s">
        <v>58</v>
      </c>
      <c r="J55" s="94">
        <f>ROUND((SUMIF(I24:I50,"2",S24:S52))*1.015,0)</f>
        <v>0</v>
      </c>
      <c r="K55" s="93" t="s">
        <v>103</v>
      </c>
      <c r="L55" s="125">
        <f>ROUND((SUMIF(I24:I50,"4",S24:S52))*1.015,0)</f>
        <v>0</v>
      </c>
      <c r="M55" s="92"/>
      <c r="N55" s="266"/>
    </row>
    <row r="56" spans="1:14" ht="20.25" customHeight="1" thickBot="1">
      <c r="A56" s="298" t="s">
        <v>110</v>
      </c>
      <c r="B56" s="298"/>
      <c r="C56" s="298"/>
      <c r="D56" s="122" t="str">
        <f>IF(N10="","",SUM(C24:C50))</f>
        <v/>
      </c>
      <c r="E56" s="123" t="s">
        <v>59</v>
      </c>
      <c r="G56" s="21"/>
      <c r="H56" s="21"/>
      <c r="I56" s="21"/>
      <c r="J56" s="21"/>
      <c r="K56" s="21"/>
      <c r="L56" s="21"/>
      <c r="M56" s="23"/>
      <c r="N56" s="83" t="s">
        <v>80</v>
      </c>
    </row>
    <row r="57" spans="1:14" ht="15">
      <c r="A57" s="36" t="s">
        <v>60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7"/>
      <c r="N57" s="84" t="s">
        <v>61</v>
      </c>
    </row>
    <row r="58" spans="1:14" ht="15.75" thickBot="1">
      <c r="A58" s="148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5"/>
      <c r="N58" s="85">
        <f>MAX(N24:N50)</f>
        <v>0</v>
      </c>
    </row>
  </sheetData>
  <mergeCells count="22">
    <mergeCell ref="A2:N2"/>
    <mergeCell ref="A4:N4"/>
    <mergeCell ref="D6:E6"/>
    <mergeCell ref="F6:G6"/>
    <mergeCell ref="H6:J6"/>
    <mergeCell ref="K6:L6"/>
    <mergeCell ref="M6:N6"/>
    <mergeCell ref="D8:F8"/>
    <mergeCell ref="H13:J13"/>
    <mergeCell ref="H14:J14"/>
    <mergeCell ref="A22:B22"/>
    <mergeCell ref="A15:J16"/>
    <mergeCell ref="D10:F10"/>
    <mergeCell ref="S22:S23"/>
    <mergeCell ref="T22:T23"/>
    <mergeCell ref="N52:N55"/>
    <mergeCell ref="B58:M58"/>
    <mergeCell ref="B57:M57"/>
    <mergeCell ref="G22:J22"/>
    <mergeCell ref="A56:C56"/>
    <mergeCell ref="K22:K23"/>
    <mergeCell ref="L22:N22"/>
  </mergeCells>
  <conditionalFormatting sqref="N24:N41 N43:N51">
    <cfRule type="expression" priority="1" dxfId="0" stopIfTrue="1">
      <formula>$V23&gt;0</formula>
    </cfRule>
  </conditionalFormatting>
  <conditionalFormatting sqref="D6 H6 M6 D8 D10 D12 D13 D14 H13 H14 N10 N12 N1 N20 N13">
    <cfRule type="cellIs" priority="3" dxfId="1" operator="equal" stopIfTrue="1">
      <formula>""</formula>
    </cfRule>
  </conditionalFormatting>
  <conditionalFormatting sqref="N42">
    <cfRule type="expression" priority="4" dxfId="0" stopIfTrue="1">
      <formula>#REF!&gt;0</formula>
    </cfRule>
  </conditionalFormatting>
  <dataValidations count="6">
    <dataValidation type="list" allowBlank="1" showInputMessage="1" showErrorMessage="1" sqref="D8">
      <formula1>$U$5:$U$7</formula1>
    </dataValidation>
    <dataValidation type="list" allowBlank="1" showInputMessage="1" showErrorMessage="1" sqref="D12">
      <formula1>$Y$5:$Y$8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H24:I50">
      <formula1>$AA$5:$AA$10</formula1>
    </dataValidation>
  </dataValidations>
  <printOptions/>
  <pageMargins left="0.7" right="0.7" top="0.75" bottom="0.75" header="0.3" footer="0.3"/>
  <pageSetup horizontalDpi="600" verticalDpi="600" orientation="portrait" scale="6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7"/>
  <sheetViews>
    <sheetView workbookViewId="0" topLeftCell="A4">
      <selection activeCell="H23" sqref="H23"/>
    </sheetView>
  </sheetViews>
  <sheetFormatPr defaultColWidth="11.421875" defaultRowHeight="15"/>
  <cols>
    <col min="1" max="1" width="9.140625" style="138" customWidth="1"/>
    <col min="2" max="2" width="8.8515625" style="138" customWidth="1"/>
    <col min="3" max="3" width="8.421875" style="138" customWidth="1"/>
    <col min="4" max="5" width="11.421875" style="138" customWidth="1"/>
    <col min="6" max="6" width="9.8515625" style="138" customWidth="1"/>
    <col min="7" max="7" width="9.421875" style="138" customWidth="1"/>
    <col min="8" max="8" width="10.00390625" style="138" customWidth="1"/>
    <col min="9" max="9" width="10.8515625" style="138" customWidth="1"/>
    <col min="10" max="10" width="9.00390625" style="138" customWidth="1"/>
    <col min="11" max="13" width="11.421875" style="138" customWidth="1"/>
    <col min="14" max="14" width="14.140625" style="138" customWidth="1"/>
    <col min="15" max="15" width="11.421875" style="138" customWidth="1"/>
    <col min="16" max="16" width="11.8515625" style="138" bestFit="1" customWidth="1"/>
    <col min="17" max="17" width="11.8515625" style="138" customWidth="1"/>
    <col min="18" max="27" width="11.421875" style="138" hidden="1" customWidth="1"/>
    <col min="28" max="16384" width="11.421875" style="138" customWidth="1"/>
  </cols>
  <sheetData>
    <row r="1" spans="1:14" ht="15.75" thickBot="1">
      <c r="A1" s="18"/>
      <c r="B1" s="18"/>
      <c r="C1" s="19"/>
      <c r="D1" s="19"/>
      <c r="E1" s="19"/>
      <c r="F1" s="20"/>
      <c r="G1" s="18"/>
      <c r="H1" s="18"/>
      <c r="I1" s="18"/>
      <c r="J1" s="19"/>
      <c r="K1" s="18"/>
      <c r="L1" s="18"/>
      <c r="M1" s="131" t="s">
        <v>121</v>
      </c>
      <c r="N1" s="149"/>
    </row>
    <row r="2" spans="1:14" ht="18">
      <c r="A2" s="136" t="s">
        <v>120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33"/>
      <c r="B3" s="133"/>
      <c r="C3" s="133"/>
      <c r="D3" s="133"/>
      <c r="E3" s="133"/>
      <c r="F3" s="22" t="s">
        <v>119</v>
      </c>
      <c r="G3" s="133"/>
      <c r="H3" s="133"/>
      <c r="I3" s="133"/>
      <c r="J3" s="133"/>
      <c r="K3" s="133"/>
      <c r="L3" s="133"/>
      <c r="M3" s="133"/>
      <c r="N3" s="87"/>
    </row>
    <row r="4" spans="1:27" ht="15.75">
      <c r="A4" s="137" t="s">
        <v>125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R4" s="138" t="s">
        <v>117</v>
      </c>
      <c r="S4" s="138" t="s">
        <v>63</v>
      </c>
      <c r="U4" s="138" t="s">
        <v>24</v>
      </c>
      <c r="W4" s="138" t="s">
        <v>69</v>
      </c>
      <c r="Y4" s="138" t="s">
        <v>72</v>
      </c>
      <c r="Z4" s="138" t="s">
        <v>77</v>
      </c>
      <c r="AA4" s="138" t="s">
        <v>79</v>
      </c>
    </row>
    <row r="5" spans="1:27" ht="16.5" thickBot="1">
      <c r="A5" s="24"/>
      <c r="B5" s="18"/>
      <c r="C5" s="19"/>
      <c r="D5" s="19"/>
      <c r="E5" s="19"/>
      <c r="F5" s="20"/>
      <c r="G5" s="20"/>
      <c r="H5" s="18"/>
      <c r="I5" s="18"/>
      <c r="J5" s="18"/>
      <c r="K5" s="19"/>
      <c r="L5" s="18"/>
      <c r="M5" s="18"/>
      <c r="N5" s="23"/>
      <c r="R5" s="138" t="s">
        <v>22</v>
      </c>
      <c r="S5" s="138" t="s">
        <v>64</v>
      </c>
      <c r="U5" s="138" t="s">
        <v>114</v>
      </c>
      <c r="W5" s="138" t="s">
        <v>70</v>
      </c>
      <c r="Y5" s="138" t="s">
        <v>73</v>
      </c>
      <c r="Z5" s="138" t="s">
        <v>29</v>
      </c>
      <c r="AA5" s="158">
        <v>6</v>
      </c>
    </row>
    <row r="6" spans="1:27" ht="15.75" thickBot="1">
      <c r="A6" s="25" t="s">
        <v>23</v>
      </c>
      <c r="B6" s="26"/>
      <c r="C6" s="88"/>
      <c r="D6" s="249"/>
      <c r="E6" s="250"/>
      <c r="F6" s="256" t="s">
        <v>92</v>
      </c>
      <c r="G6" s="257"/>
      <c r="H6" s="306"/>
      <c r="I6" s="307"/>
      <c r="J6" s="308"/>
      <c r="K6" s="258" t="s">
        <v>81</v>
      </c>
      <c r="L6" s="259"/>
      <c r="M6" s="251"/>
      <c r="N6" s="252"/>
      <c r="P6" s="140"/>
      <c r="R6" s="138" t="s">
        <v>116</v>
      </c>
      <c r="S6" s="138" t="s">
        <v>65</v>
      </c>
      <c r="U6" s="138" t="s">
        <v>115</v>
      </c>
      <c r="W6" s="138" t="s">
        <v>7</v>
      </c>
      <c r="Y6" s="138" t="s">
        <v>76</v>
      </c>
      <c r="Z6" s="138" t="s">
        <v>78</v>
      </c>
      <c r="AA6" s="158">
        <v>4</v>
      </c>
    </row>
    <row r="7" spans="1:27" ht="15.75" thickBot="1">
      <c r="A7" s="21"/>
      <c r="B7" s="21"/>
      <c r="C7" s="21"/>
      <c r="D7" s="21"/>
      <c r="E7" s="21"/>
      <c r="F7" s="28"/>
      <c r="G7" s="28"/>
      <c r="H7" s="21"/>
      <c r="I7" s="21"/>
      <c r="J7" s="21"/>
      <c r="K7" s="21"/>
      <c r="L7" s="21"/>
      <c r="M7" s="21"/>
      <c r="N7" s="23"/>
      <c r="S7" s="138" t="s">
        <v>66</v>
      </c>
      <c r="W7" s="138" t="s">
        <v>27</v>
      </c>
      <c r="Y7" s="138" t="s">
        <v>74</v>
      </c>
      <c r="AA7" s="139">
        <v>2</v>
      </c>
    </row>
    <row r="8" spans="1:27" ht="15.75" thickBot="1">
      <c r="A8" s="25" t="s">
        <v>24</v>
      </c>
      <c r="B8" s="26"/>
      <c r="C8" s="26"/>
      <c r="D8" s="249"/>
      <c r="E8" s="248"/>
      <c r="F8" s="250"/>
      <c r="G8" s="26"/>
      <c r="H8" s="29"/>
      <c r="I8" s="29"/>
      <c r="J8" s="26"/>
      <c r="K8" s="26"/>
      <c r="L8" s="26"/>
      <c r="M8" s="26"/>
      <c r="N8" s="27"/>
      <c r="S8" s="138" t="s">
        <v>67</v>
      </c>
      <c r="W8" s="138" t="s">
        <v>9</v>
      </c>
      <c r="Y8" s="138" t="s">
        <v>75</v>
      </c>
      <c r="AA8" s="139" t="s">
        <v>0</v>
      </c>
    </row>
    <row r="9" spans="1:27" ht="15.75" thickBot="1">
      <c r="A9" s="23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AA9" s="139" t="s">
        <v>1</v>
      </c>
    </row>
    <row r="10" spans="1:27" ht="16.5" customHeight="1" thickBot="1">
      <c r="A10" s="30" t="s">
        <v>26</v>
      </c>
      <c r="B10" s="18"/>
      <c r="C10" s="23"/>
      <c r="D10" s="243"/>
      <c r="E10" s="244"/>
      <c r="F10" s="18"/>
      <c r="G10" s="18"/>
      <c r="H10" s="18"/>
      <c r="I10" s="18"/>
      <c r="J10" s="18"/>
      <c r="K10" s="23"/>
      <c r="L10" s="18" t="s">
        <v>28</v>
      </c>
      <c r="M10" s="18"/>
      <c r="N10" s="151"/>
      <c r="S10" s="138" t="s">
        <v>64</v>
      </c>
      <c r="U10" s="138" t="s">
        <v>29</v>
      </c>
      <c r="V10" s="138" t="s">
        <v>78</v>
      </c>
      <c r="AA10" s="139" t="s">
        <v>2</v>
      </c>
    </row>
    <row r="11" spans="1:27" ht="15.75" thickBot="1">
      <c r="A11" s="23"/>
      <c r="B11" s="31"/>
      <c r="C11" s="23"/>
      <c r="D11" s="19"/>
      <c r="E11" s="32"/>
      <c r="F11" s="32"/>
      <c r="G11" s="20"/>
      <c r="H11" s="20"/>
      <c r="I11" s="20"/>
      <c r="J11" s="33"/>
      <c r="K11" s="34"/>
      <c r="L11" s="35"/>
      <c r="M11" s="18"/>
      <c r="N11" s="18"/>
      <c r="S11" s="138" t="s">
        <v>84</v>
      </c>
      <c r="U11" s="138">
        <v>10</v>
      </c>
      <c r="V11" s="138">
        <v>30</v>
      </c>
      <c r="AA11" s="141" t="s">
        <v>3</v>
      </c>
    </row>
    <row r="12" spans="1:22" ht="15.75" thickBot="1">
      <c r="A12" s="25" t="s">
        <v>34</v>
      </c>
      <c r="B12" s="26"/>
      <c r="C12" s="27"/>
      <c r="D12" s="159"/>
      <c r="E12" s="38"/>
      <c r="F12" s="39"/>
      <c r="G12" s="39"/>
      <c r="H12" s="186"/>
      <c r="I12" s="39"/>
      <c r="J12" s="40"/>
      <c r="K12" s="36"/>
      <c r="L12" s="37"/>
      <c r="M12" s="89" t="s">
        <v>30</v>
      </c>
      <c r="N12" s="152"/>
      <c r="S12" s="138" t="s">
        <v>85</v>
      </c>
      <c r="U12" s="138">
        <v>15</v>
      </c>
      <c r="V12" s="138">
        <v>50</v>
      </c>
    </row>
    <row r="13" spans="1:22" ht="15.75" customHeight="1" thickBot="1">
      <c r="A13" s="315" t="s">
        <v>118</v>
      </c>
      <c r="B13" s="316"/>
      <c r="C13" s="317"/>
      <c r="D13" s="160"/>
      <c r="E13" s="21"/>
      <c r="F13" s="28"/>
      <c r="G13" s="42" t="s">
        <v>32</v>
      </c>
      <c r="H13" s="280"/>
      <c r="I13" s="281"/>
      <c r="J13" s="282"/>
      <c r="K13" s="41"/>
      <c r="L13" s="21"/>
      <c r="M13" s="90" t="s">
        <v>33</v>
      </c>
      <c r="N13" s="43" t="str">
        <f>IF(N10="","",IF(N10="3F","220 / 127 V","240 / 120 V"))</f>
        <v/>
      </c>
      <c r="S13" s="138" t="s">
        <v>86</v>
      </c>
      <c r="U13" s="138">
        <v>25</v>
      </c>
      <c r="V13" s="138">
        <v>75</v>
      </c>
    </row>
    <row r="14" spans="1:22" ht="25.5" customHeight="1" thickBot="1">
      <c r="A14" s="318" t="str">
        <f>+IF(D13="NO","INDICAR kVA TRAFO:","")</f>
        <v/>
      </c>
      <c r="B14" s="319"/>
      <c r="C14" s="320"/>
      <c r="D14" s="185"/>
      <c r="E14" s="41"/>
      <c r="F14" s="28"/>
      <c r="G14" s="42" t="s">
        <v>35</v>
      </c>
      <c r="H14" s="239"/>
      <c r="I14" s="240"/>
      <c r="J14" s="311"/>
      <c r="K14" s="41"/>
      <c r="L14" s="21"/>
      <c r="M14" s="90" t="s">
        <v>93</v>
      </c>
      <c r="N14" s="132" t="str">
        <f>IF(OR(N10="",D12=""),"",IF(D13="SI",(D12/900)*1.05,D12/900))</f>
        <v/>
      </c>
      <c r="S14" s="138" t="s">
        <v>87</v>
      </c>
      <c r="U14" s="138">
        <v>37.5</v>
      </c>
      <c r="V14" s="138">
        <v>100</v>
      </c>
    </row>
    <row r="15" spans="1:22" ht="33.75" customHeight="1" thickBot="1">
      <c r="A15" s="312"/>
      <c r="B15" s="313"/>
      <c r="C15" s="313"/>
      <c r="D15" s="313"/>
      <c r="E15" s="313"/>
      <c r="F15" s="313"/>
      <c r="G15" s="313"/>
      <c r="H15" s="313"/>
      <c r="I15" s="313"/>
      <c r="J15" s="314"/>
      <c r="K15" s="44"/>
      <c r="L15" s="34"/>
      <c r="M15" s="130" t="str">
        <f>+IF(OR(D13="NO",D13="",,D12="",N10=""),"","POT. NOMINAL TRAFO. (KVA):")</f>
        <v/>
      </c>
      <c r="N15" s="118" t="str">
        <f>IF(OR(D13="NO",D13="",D12="",N10=""),"",IF(N10="1F",IF($N$14&lt;$U$11,U11,IF(AND(N14&gt;U11,N14&lt;U12),U12,IF(AND(N14&gt;U12,N14&lt;U13),U13,IF(AND(N14&gt;U13,N14&lt;U14),U14,IF(AND(N14&gt;U14,N14&lt;U15),U15,IF(AND(N14&gt;U15,N14&lt;U16),U16,IF(AND(N14&gt;U16,N14&lt;U17),U17,IF(AND(N14&gt;U17,N14&lt;U18),U18,IF(AND(N14&gt;U18,N14&lt;U19),U19,D14))))))))),IF($N$14&lt;$V$11,V11,IF(AND(N14&gt;V11,N14&lt;V12),V12,IF(AND(N14&gt;V12,N14&lt;V13),V13,IF(AND(N14&gt;V13,N14&lt;V14),V14,IF(AND(N14&gt;V14,N14&lt;V15),V15,IF(AND(N14&gt;V15,N14&lt;V16),V16,IF(AND(N14&gt;V16,N14&lt;V17),V17,D14)))))))))</f>
        <v/>
      </c>
      <c r="S15" s="138" t="s">
        <v>88</v>
      </c>
      <c r="U15" s="138">
        <v>50</v>
      </c>
      <c r="V15" s="138">
        <v>125</v>
      </c>
    </row>
    <row r="16" spans="1:22" ht="15.75" thickBot="1">
      <c r="A16" s="21"/>
      <c r="B16" s="21"/>
      <c r="C16" s="21"/>
      <c r="D16" s="21"/>
      <c r="E16" s="21"/>
      <c r="F16" s="28"/>
      <c r="G16" s="28"/>
      <c r="H16" s="21"/>
      <c r="I16" s="21"/>
      <c r="J16" s="21"/>
      <c r="K16" s="21"/>
      <c r="L16" s="21"/>
      <c r="M16" s="21"/>
      <c r="N16" s="23"/>
      <c r="S16" s="138" t="s">
        <v>89</v>
      </c>
      <c r="U16" s="138">
        <v>75</v>
      </c>
      <c r="V16" s="138">
        <v>150</v>
      </c>
    </row>
    <row r="17" spans="1:22" ht="18.75">
      <c r="A17" s="46" t="s">
        <v>36</v>
      </c>
      <c r="B17" s="47"/>
      <c r="C17" s="47"/>
      <c r="D17" s="48" t="s">
        <v>37</v>
      </c>
      <c r="E17" s="49"/>
      <c r="F17" s="50"/>
      <c r="G17" s="50"/>
      <c r="H17" s="37"/>
      <c r="I17" s="37"/>
      <c r="J17" s="37"/>
      <c r="K17" s="37"/>
      <c r="L17" s="37"/>
      <c r="M17" s="37"/>
      <c r="N17" s="40"/>
      <c r="S17" s="138" t="s">
        <v>90</v>
      </c>
      <c r="U17" s="138">
        <v>100</v>
      </c>
      <c r="V17" s="138">
        <v>200</v>
      </c>
    </row>
    <row r="18" spans="1:21" ht="15.75" thickBot="1">
      <c r="A18" s="41"/>
      <c r="B18" s="21"/>
      <c r="C18" s="21"/>
      <c r="D18" s="21"/>
      <c r="E18" s="21"/>
      <c r="F18" s="28"/>
      <c r="G18" s="28"/>
      <c r="H18" s="21"/>
      <c r="I18" s="21"/>
      <c r="J18" s="21"/>
      <c r="K18" s="21"/>
      <c r="L18" s="21"/>
      <c r="M18" s="21"/>
      <c r="N18" s="51"/>
      <c r="S18" s="138" t="s">
        <v>91</v>
      </c>
      <c r="U18" s="138">
        <v>112.5</v>
      </c>
    </row>
    <row r="19" spans="1:21" ht="15.75" thickBot="1">
      <c r="A19" s="44"/>
      <c r="B19" s="34"/>
      <c r="C19" s="34"/>
      <c r="D19" s="34"/>
      <c r="E19" s="34"/>
      <c r="F19" s="45"/>
      <c r="G19" s="45"/>
      <c r="H19" s="34"/>
      <c r="I19" s="34"/>
      <c r="J19" s="34"/>
      <c r="K19" s="34"/>
      <c r="L19" s="113" t="s">
        <v>102</v>
      </c>
      <c r="M19" s="142"/>
      <c r="N19" s="153"/>
      <c r="Q19" s="139"/>
      <c r="U19" s="138">
        <v>125</v>
      </c>
    </row>
    <row r="20" spans="1:14" ht="15.75" thickBot="1">
      <c r="A20" s="21"/>
      <c r="B20" s="21"/>
      <c r="C20" s="21"/>
      <c r="D20" s="21"/>
      <c r="E20" s="21"/>
      <c r="F20" s="28"/>
      <c r="G20" s="28"/>
      <c r="H20" s="21"/>
      <c r="I20" s="21"/>
      <c r="J20" s="21"/>
      <c r="K20" s="21"/>
      <c r="L20" s="21"/>
      <c r="M20" s="21"/>
      <c r="N20" s="23"/>
    </row>
    <row r="21" spans="1:20" ht="15.75" thickBot="1">
      <c r="A21" s="247" t="s">
        <v>38</v>
      </c>
      <c r="B21" s="242"/>
      <c r="C21" s="52" t="s">
        <v>39</v>
      </c>
      <c r="D21" s="52" t="s">
        <v>40</v>
      </c>
      <c r="E21" s="53" t="s">
        <v>41</v>
      </c>
      <c r="F21" s="53" t="s">
        <v>42</v>
      </c>
      <c r="G21" s="247" t="s">
        <v>43</v>
      </c>
      <c r="H21" s="241"/>
      <c r="I21" s="241"/>
      <c r="J21" s="242"/>
      <c r="K21" s="245" t="s">
        <v>44</v>
      </c>
      <c r="L21" s="241" t="s">
        <v>45</v>
      </c>
      <c r="M21" s="241"/>
      <c r="N21" s="242"/>
      <c r="S21" s="262" t="s">
        <v>98</v>
      </c>
      <c r="T21" s="262" t="s">
        <v>99</v>
      </c>
    </row>
    <row r="22" spans="1:20" ht="15.75" thickBot="1">
      <c r="A22" s="52" t="s">
        <v>46</v>
      </c>
      <c r="B22" s="52" t="s">
        <v>47</v>
      </c>
      <c r="C22" s="54" t="s">
        <v>48</v>
      </c>
      <c r="D22" s="54" t="s">
        <v>49</v>
      </c>
      <c r="E22" s="55" t="s">
        <v>50</v>
      </c>
      <c r="F22" s="55" t="s">
        <v>51</v>
      </c>
      <c r="G22" s="56" t="s">
        <v>52</v>
      </c>
      <c r="H22" s="43" t="s">
        <v>105</v>
      </c>
      <c r="I22" s="124" t="s">
        <v>106</v>
      </c>
      <c r="J22" s="43" t="s">
        <v>53</v>
      </c>
      <c r="K22" s="246"/>
      <c r="L22" s="53" t="s">
        <v>54</v>
      </c>
      <c r="M22" s="43" t="s">
        <v>55</v>
      </c>
      <c r="N22" s="57" t="s">
        <v>56</v>
      </c>
      <c r="S22" s="262"/>
      <c r="T22" s="262"/>
    </row>
    <row r="23" spans="1:20" ht="15">
      <c r="A23" s="191" t="str">
        <f>+IF(N19="","",N19)</f>
        <v/>
      </c>
      <c r="B23" s="164"/>
      <c r="C23" s="165"/>
      <c r="D23" s="165"/>
      <c r="E23" s="166"/>
      <c r="F23" s="61" t="str">
        <f>IF(E23="","",E23/(900))</f>
        <v/>
      </c>
      <c r="G23" s="95" t="str">
        <f>IF(OR($N$10="",C23=""),"",IF($N$10="1F",1,3))</f>
        <v/>
      </c>
      <c r="H23" s="182"/>
      <c r="I23" s="182"/>
      <c r="J23" s="95" t="str">
        <f>IF(OR(H23="",$D$10="",$N$10=""),"",IF($D$10="COBRE",VLOOKUP(CDV_PROY_AP!H23,FDV!$B$16:$E$24,IF(CDV_PROY_AP!$N$10="3F",3,4),FALSE),IF($D$10="ACS",VLOOKUP(CDV_PROY_AP!H23,FDV!$B$10:$E$15,IF(CDV_PROY_AP!$N$10="3F",3,4),FALSE),IF($D$10="5005 (PREENSAMBLADO)",VLOOKUP(CDV_PROY_AP!H23,FDV!$B$4:$E$9,IF(CDV_PROY_AP!$N$10="3F",3,4),FALSE),VLOOKUP(CDV_PROY_AP!H23,FDV!$B$25:$E$30,IF(CDV_PROY_AP!$N$10="3F",3,4),FALSE)))))</f>
        <v/>
      </c>
      <c r="K23" s="60" t="str">
        <f aca="true" t="shared" si="0" ref="K23:K50">IF(C23="","",ROUND(F23*C23,0))</f>
        <v/>
      </c>
      <c r="L23" s="61" t="str">
        <f aca="true" t="shared" si="1" ref="L23:L49">IF($N$19="","",IF(C23="","",ROUND(K23/J23,2)))</f>
        <v/>
      </c>
      <c r="M23" s="61" t="str">
        <f>IF(C23="","",VLOOKUP(A23,B23:N50,12,FALSE)+L23)</f>
        <v/>
      </c>
      <c r="N23" s="154"/>
      <c r="S23" s="138">
        <f>+IF(C23="",0,C23)</f>
        <v>0</v>
      </c>
      <c r="T23" s="138">
        <f>IF(OR(C23="",G23=""),0,C23*G23)</f>
        <v>0</v>
      </c>
    </row>
    <row r="24" spans="1:20" ht="15">
      <c r="A24" s="167"/>
      <c r="B24" s="168"/>
      <c r="C24" s="169"/>
      <c r="D24" s="169"/>
      <c r="E24" s="170"/>
      <c r="F24" s="58" t="str">
        <f aca="true" t="shared" si="2" ref="F24:F50">IF(E24="","",E24/(900))</f>
        <v/>
      </c>
      <c r="G24" s="59" t="str">
        <f aca="true" t="shared" si="3" ref="G24:G49">IF(OR($N$10="",C24=""),"",IF($N$10="1F",1,3))</f>
        <v/>
      </c>
      <c r="H24" s="183"/>
      <c r="I24" s="183"/>
      <c r="J24" s="59" t="str">
        <f>IF(OR(H24="",$D$10="",$N$10=""),"",IF($D$10="COBRE",VLOOKUP(CDV_PROY_AP!H24,FDV!$B$16:$E$24,IF(CDV_PROY_AP!$N$10="3F",3,4),FALSE),IF($D$10="ACS",VLOOKUP(CDV_PROY_AP!H24,FDV!$B$10:$E$15,IF(CDV_PROY_AP!$N$10="3F",3,4),FALSE),IF($D$10="5005 (PREENSAMBLADO)",VLOOKUP(CDV_PROY_AP!H24,FDV!$B$4:$E$9,IF(CDV_PROY_AP!$N$10="3F",3,4),FALSE),VLOOKUP(CDV_PROY_AP!H24,FDV!$B$25:$E$30,IF(CDV_PROY_AP!$N$10="3F",3,4),FALSE)))))</f>
        <v/>
      </c>
      <c r="K24" s="63" t="str">
        <f t="shared" si="0"/>
        <v/>
      </c>
      <c r="L24" s="62" t="str">
        <f t="shared" si="1"/>
        <v/>
      </c>
      <c r="M24" s="62" t="str">
        <f>IF(C24="","",VLOOKUP(A24,B23:N50,11,FALSE)+L24)</f>
        <v/>
      </c>
      <c r="N24" s="155"/>
      <c r="S24" s="138">
        <f aca="true" t="shared" si="4" ref="S24:S49">+IF(C24="",0,C24)</f>
        <v>0</v>
      </c>
      <c r="T24" s="138">
        <f aca="true" t="shared" si="5" ref="T24:T51">IF(OR(C24="",G24=""),0,C24*G24)</f>
        <v>0</v>
      </c>
    </row>
    <row r="25" spans="1:20" ht="15">
      <c r="A25" s="167"/>
      <c r="B25" s="168"/>
      <c r="C25" s="169"/>
      <c r="D25" s="169"/>
      <c r="E25" s="170"/>
      <c r="F25" s="58" t="str">
        <f t="shared" si="2"/>
        <v/>
      </c>
      <c r="G25" s="59" t="str">
        <f t="shared" si="3"/>
        <v/>
      </c>
      <c r="H25" s="183"/>
      <c r="I25" s="183"/>
      <c r="J25" s="59" t="str">
        <f>IF(OR(H25="",$D$10="",$N$10=""),"",IF($D$10="COBRE",VLOOKUP(CDV_PROY_AP!H25,FDV!$B$16:$E$24,IF(CDV_PROY_AP!$N$10="3F",3,4),FALSE),IF($D$10="ACS",VLOOKUP(CDV_PROY_AP!H25,FDV!$B$10:$E$15,IF(CDV_PROY_AP!$N$10="3F",3,4),FALSE),IF($D$10="5005 (PREENSAMBLADO)",VLOOKUP(CDV_PROY_AP!H25,FDV!$B$4:$E$9,IF(CDV_PROY_AP!$N$10="3F",3,4),FALSE),VLOOKUP(CDV_PROY_AP!H25,FDV!$B$25:$E$30,IF(CDV_PROY_AP!$N$10="3F",3,4),FALSE)))))</f>
        <v/>
      </c>
      <c r="K25" s="63" t="str">
        <f t="shared" si="0"/>
        <v/>
      </c>
      <c r="L25" s="62" t="str">
        <f t="shared" si="1"/>
        <v/>
      </c>
      <c r="M25" s="62" t="str">
        <f>IF(C25="","",VLOOKUP(A25,B23:N50,11,FALSE)+L25)</f>
        <v/>
      </c>
      <c r="N25" s="155"/>
      <c r="S25" s="138">
        <f t="shared" si="4"/>
        <v>0</v>
      </c>
      <c r="T25" s="138">
        <f t="shared" si="5"/>
        <v>0</v>
      </c>
    </row>
    <row r="26" spans="1:20" ht="15">
      <c r="A26" s="167"/>
      <c r="B26" s="168"/>
      <c r="C26" s="169"/>
      <c r="D26" s="169"/>
      <c r="E26" s="170"/>
      <c r="F26" s="58" t="str">
        <f t="shared" si="2"/>
        <v/>
      </c>
      <c r="G26" s="59" t="str">
        <f t="shared" si="3"/>
        <v/>
      </c>
      <c r="H26" s="183"/>
      <c r="I26" s="183"/>
      <c r="J26" s="59" t="str">
        <f>IF(OR(H26="",$D$10="",$N$10=""),"",IF($D$10="COBRE",VLOOKUP(CDV_PROY_AP!H26,FDV!$B$16:$E$24,IF(CDV_PROY_AP!$N$10="3F",3,4),FALSE),IF($D$10="ACS",VLOOKUP(CDV_PROY_AP!H26,FDV!$B$10:$E$15,IF(CDV_PROY_AP!$N$10="3F",3,4),FALSE),IF($D$10="5005 (PREENSAMBLADO)",VLOOKUP(CDV_PROY_AP!H26,FDV!$B$4:$E$9,IF(CDV_PROY_AP!$N$10="3F",3,4),FALSE),VLOOKUP(CDV_PROY_AP!H26,FDV!$B$25:$E$30,IF(CDV_PROY_AP!$N$10="3F",3,4),FALSE)))))</f>
        <v/>
      </c>
      <c r="K26" s="63" t="str">
        <f t="shared" si="0"/>
        <v/>
      </c>
      <c r="L26" s="62" t="str">
        <f t="shared" si="1"/>
        <v/>
      </c>
      <c r="M26" s="62" t="str">
        <f>IF(C26="","",VLOOKUP(A26,B23:N50,11,FALSE)+L26)</f>
        <v/>
      </c>
      <c r="N26" s="155"/>
      <c r="S26" s="138">
        <f t="shared" si="4"/>
        <v>0</v>
      </c>
      <c r="T26" s="138">
        <f t="shared" si="5"/>
        <v>0</v>
      </c>
    </row>
    <row r="27" spans="1:20" ht="15">
      <c r="A27" s="167"/>
      <c r="B27" s="168"/>
      <c r="C27" s="169"/>
      <c r="D27" s="169"/>
      <c r="E27" s="170"/>
      <c r="F27" s="58" t="str">
        <f t="shared" si="2"/>
        <v/>
      </c>
      <c r="G27" s="59" t="str">
        <f t="shared" si="3"/>
        <v/>
      </c>
      <c r="H27" s="183"/>
      <c r="I27" s="183"/>
      <c r="J27" s="59" t="str">
        <f>IF(OR(H27="",$D$10="",$N$10=""),"",IF($D$10="COBRE",VLOOKUP(CDV_PROY_AP!H27,FDV!$B$16:$E$24,IF(CDV_PROY_AP!$N$10="3F",3,4),FALSE),IF($D$10="ACS",VLOOKUP(CDV_PROY_AP!H27,FDV!$B$10:$E$15,IF(CDV_PROY_AP!$N$10="3F",3,4),FALSE),IF($D$10="5005 (PREENSAMBLADO)",VLOOKUP(CDV_PROY_AP!H27,FDV!$B$4:$E$9,IF(CDV_PROY_AP!$N$10="3F",3,4),FALSE),VLOOKUP(CDV_PROY_AP!H27,FDV!$B$25:$E$30,IF(CDV_PROY_AP!$N$10="3F",3,4),FALSE)))))</f>
        <v/>
      </c>
      <c r="K27" s="63" t="str">
        <f t="shared" si="0"/>
        <v/>
      </c>
      <c r="L27" s="62" t="str">
        <f t="shared" si="1"/>
        <v/>
      </c>
      <c r="M27" s="62" t="str">
        <f>IF(C27="","",VLOOKUP(A27,B23:N50,11,FALSE)+L27)</f>
        <v/>
      </c>
      <c r="N27" s="155"/>
      <c r="S27" s="138">
        <f t="shared" si="4"/>
        <v>0</v>
      </c>
      <c r="T27" s="138">
        <f t="shared" si="5"/>
        <v>0</v>
      </c>
    </row>
    <row r="28" spans="1:20" ht="15">
      <c r="A28" s="167"/>
      <c r="B28" s="168"/>
      <c r="C28" s="169"/>
      <c r="D28" s="169"/>
      <c r="E28" s="170"/>
      <c r="F28" s="58" t="str">
        <f t="shared" si="2"/>
        <v/>
      </c>
      <c r="G28" s="59" t="str">
        <f t="shared" si="3"/>
        <v/>
      </c>
      <c r="H28" s="183"/>
      <c r="I28" s="183"/>
      <c r="J28" s="59" t="str">
        <f>IF(OR(H28="",$D$10="",$N$10=""),"",IF($D$10="COBRE",VLOOKUP(CDV_PROY_AP!H28,FDV!$B$16:$E$24,IF(CDV_PROY_AP!$N$10="3F",3,4),FALSE),IF($D$10="ACS",VLOOKUP(CDV_PROY_AP!H28,FDV!$B$10:$E$15,IF(CDV_PROY_AP!$N$10="3F",3,4),FALSE),IF($D$10="5005 (PREENSAMBLADO)",VLOOKUP(CDV_PROY_AP!H28,FDV!$B$4:$E$9,IF(CDV_PROY_AP!$N$10="3F",3,4),FALSE),VLOOKUP(CDV_PROY_AP!H28,FDV!$B$25:$E$30,IF(CDV_PROY_AP!$N$10="3F",3,4),FALSE)))))</f>
        <v/>
      </c>
      <c r="K28" s="63" t="str">
        <f t="shared" si="0"/>
        <v/>
      </c>
      <c r="L28" s="62" t="str">
        <f t="shared" si="1"/>
        <v/>
      </c>
      <c r="M28" s="62" t="str">
        <f>IF(C28="","",VLOOKUP(A28,B23:N50,11,FALSE)+L28)</f>
        <v/>
      </c>
      <c r="N28" s="155"/>
      <c r="S28" s="138">
        <f t="shared" si="4"/>
        <v>0</v>
      </c>
      <c r="T28" s="138">
        <f t="shared" si="5"/>
        <v>0</v>
      </c>
    </row>
    <row r="29" spans="1:20" ht="15">
      <c r="A29" s="167"/>
      <c r="B29" s="168"/>
      <c r="C29" s="169"/>
      <c r="D29" s="169"/>
      <c r="E29" s="170"/>
      <c r="F29" s="58" t="str">
        <f t="shared" si="2"/>
        <v/>
      </c>
      <c r="G29" s="59" t="str">
        <f t="shared" si="3"/>
        <v/>
      </c>
      <c r="H29" s="183"/>
      <c r="I29" s="183"/>
      <c r="J29" s="59" t="str">
        <f>IF(OR(H29="",$D$10="",$N$10=""),"",IF($D$10="COBRE",VLOOKUP(CDV_PROY_AP!H29,FDV!$B$16:$E$24,IF(CDV_PROY_AP!$N$10="3F",3,4),FALSE),IF($D$10="ACS",VLOOKUP(CDV_PROY_AP!H29,FDV!$B$10:$E$15,IF(CDV_PROY_AP!$N$10="3F",3,4),FALSE),IF($D$10="5005 (PREENSAMBLADO)",VLOOKUP(CDV_PROY_AP!H29,FDV!$B$4:$E$9,IF(CDV_PROY_AP!$N$10="3F",3,4),FALSE),VLOOKUP(CDV_PROY_AP!H29,FDV!$B$25:$E$30,IF(CDV_PROY_AP!$N$10="3F",3,4),FALSE)))))</f>
        <v/>
      </c>
      <c r="K29" s="63" t="str">
        <f t="shared" si="0"/>
        <v/>
      </c>
      <c r="L29" s="62" t="str">
        <f t="shared" si="1"/>
        <v/>
      </c>
      <c r="M29" s="62" t="str">
        <f>IF(C29="","",VLOOKUP(A29,B23:N50,11,FALSE)+L29)</f>
        <v/>
      </c>
      <c r="N29" s="155"/>
      <c r="S29" s="138">
        <f t="shared" si="4"/>
        <v>0</v>
      </c>
      <c r="T29" s="138">
        <f t="shared" si="5"/>
        <v>0</v>
      </c>
    </row>
    <row r="30" spans="1:20" ht="15">
      <c r="A30" s="167"/>
      <c r="B30" s="168"/>
      <c r="C30" s="169"/>
      <c r="D30" s="169"/>
      <c r="E30" s="170"/>
      <c r="F30" s="58" t="str">
        <f t="shared" si="2"/>
        <v/>
      </c>
      <c r="G30" s="59" t="str">
        <f t="shared" si="3"/>
        <v/>
      </c>
      <c r="H30" s="183"/>
      <c r="I30" s="183"/>
      <c r="J30" s="59" t="str">
        <f>IF(OR(H30="",$D$10="",$N$10=""),"",IF($D$10="COBRE",VLOOKUP(CDV_PROY_AP!H30,FDV!$B$16:$E$24,IF(CDV_PROY_AP!$N$10="3F",3,4),FALSE),IF($D$10="ACS",VLOOKUP(CDV_PROY_AP!H30,FDV!$B$10:$E$15,IF(CDV_PROY_AP!$N$10="3F",3,4),FALSE),IF($D$10="5005 (PREENSAMBLADO)",VLOOKUP(CDV_PROY_AP!H30,FDV!$B$4:$E$9,IF(CDV_PROY_AP!$N$10="3F",3,4),FALSE),VLOOKUP(CDV_PROY_AP!H30,FDV!$B$25:$E$30,IF(CDV_PROY_AP!$N$10="3F",3,4),FALSE)))))</f>
        <v/>
      </c>
      <c r="K30" s="63" t="str">
        <f t="shared" si="0"/>
        <v/>
      </c>
      <c r="L30" s="62" t="str">
        <f t="shared" si="1"/>
        <v/>
      </c>
      <c r="M30" s="62" t="str">
        <f>IF(C30="","",VLOOKUP(A30,B23:N50,11,FALSE)+L30)</f>
        <v/>
      </c>
      <c r="N30" s="155"/>
      <c r="S30" s="138">
        <f t="shared" si="4"/>
        <v>0</v>
      </c>
      <c r="T30" s="138">
        <f t="shared" si="5"/>
        <v>0</v>
      </c>
    </row>
    <row r="31" spans="1:20" ht="15">
      <c r="A31" s="171"/>
      <c r="B31" s="172"/>
      <c r="C31" s="173"/>
      <c r="D31" s="173"/>
      <c r="E31" s="170"/>
      <c r="F31" s="58" t="str">
        <f t="shared" si="2"/>
        <v/>
      </c>
      <c r="G31" s="59" t="str">
        <f t="shared" si="3"/>
        <v/>
      </c>
      <c r="H31" s="183"/>
      <c r="I31" s="183"/>
      <c r="J31" s="59" t="str">
        <f>IF(OR(H31="",$D$10="",$N$10=""),"",IF($D$10="COBRE",VLOOKUP(CDV_PROY_AP!H31,FDV!$B$16:$E$24,IF(CDV_PROY_AP!$N$10="3F",3,4),FALSE),IF($D$10="ACS",VLOOKUP(CDV_PROY_AP!H31,FDV!$B$10:$E$15,IF(CDV_PROY_AP!$N$10="3F",3,4),FALSE),IF($D$10="5005 (PREENSAMBLADO)",VLOOKUP(CDV_PROY_AP!H31,FDV!$B$4:$E$9,IF(CDV_PROY_AP!$N$10="3F",3,4),FALSE),VLOOKUP(CDV_PROY_AP!H31,FDV!$B$25:$E$30,IF(CDV_PROY_AP!$N$10="3F",3,4),FALSE)))))</f>
        <v/>
      </c>
      <c r="K31" s="63" t="str">
        <f t="shared" si="0"/>
        <v/>
      </c>
      <c r="L31" s="62" t="str">
        <f t="shared" si="1"/>
        <v/>
      </c>
      <c r="M31" s="62" t="str">
        <f>IF(C31="","",VLOOKUP(A31,B23:N50,11,FALSE)+L31)</f>
        <v/>
      </c>
      <c r="N31" s="155"/>
      <c r="S31" s="138">
        <f t="shared" si="4"/>
        <v>0</v>
      </c>
      <c r="T31" s="138">
        <f t="shared" si="5"/>
        <v>0</v>
      </c>
    </row>
    <row r="32" spans="1:20" ht="15">
      <c r="A32" s="167"/>
      <c r="B32" s="168"/>
      <c r="C32" s="169"/>
      <c r="D32" s="169"/>
      <c r="E32" s="174"/>
      <c r="F32" s="58" t="str">
        <f t="shared" si="2"/>
        <v/>
      </c>
      <c r="G32" s="59" t="str">
        <f t="shared" si="3"/>
        <v/>
      </c>
      <c r="H32" s="183"/>
      <c r="I32" s="183"/>
      <c r="J32" s="59" t="str">
        <f>IF(OR(H32="",$D$10="",$N$10=""),"",IF($D$10="COBRE",VLOOKUP(CDV_PROY_AP!H32,FDV!$B$16:$E$24,IF(CDV_PROY_AP!$N$10="3F",3,4),FALSE),IF($D$10="ACS",VLOOKUP(CDV_PROY_AP!H32,FDV!$B$10:$E$15,IF(CDV_PROY_AP!$N$10="3F",3,4),FALSE),IF($D$10="5005 (PREENSAMBLADO)",VLOOKUP(CDV_PROY_AP!H32,FDV!$B$4:$E$9,IF(CDV_PROY_AP!$N$10="3F",3,4),FALSE),VLOOKUP(CDV_PROY_AP!H32,FDV!$B$25:$E$30,IF(CDV_PROY_AP!$N$10="3F",3,4),FALSE)))))</f>
        <v/>
      </c>
      <c r="K32" s="63" t="str">
        <f t="shared" si="0"/>
        <v/>
      </c>
      <c r="L32" s="62" t="str">
        <f t="shared" si="1"/>
        <v/>
      </c>
      <c r="M32" s="62" t="str">
        <f>IF(C32="","",VLOOKUP(A32,B23:N50,11,FALSE)+L32)</f>
        <v/>
      </c>
      <c r="N32" s="155"/>
      <c r="S32" s="138">
        <f t="shared" si="4"/>
        <v>0</v>
      </c>
      <c r="T32" s="138">
        <f t="shared" si="5"/>
        <v>0</v>
      </c>
    </row>
    <row r="33" spans="1:20" ht="15">
      <c r="A33" s="175"/>
      <c r="B33" s="176"/>
      <c r="C33" s="177"/>
      <c r="D33" s="177"/>
      <c r="E33" s="170"/>
      <c r="F33" s="58" t="str">
        <f t="shared" si="2"/>
        <v/>
      </c>
      <c r="G33" s="59" t="str">
        <f t="shared" si="3"/>
        <v/>
      </c>
      <c r="H33" s="183"/>
      <c r="I33" s="183"/>
      <c r="J33" s="59" t="str">
        <f>IF(OR(H33="",$D$10="",$N$10=""),"",IF($D$10="COBRE",VLOOKUP(CDV_PROY_AP!H33,FDV!$B$16:$E$24,IF(CDV_PROY_AP!$N$10="3F",3,4),FALSE),IF($D$10="ACS",VLOOKUP(CDV_PROY_AP!H33,FDV!$B$10:$E$15,IF(CDV_PROY_AP!$N$10="3F",3,4),FALSE),IF($D$10="5005 (PREENSAMBLADO)",VLOOKUP(CDV_PROY_AP!H33,FDV!$B$4:$E$9,IF(CDV_PROY_AP!$N$10="3F",3,4),FALSE),VLOOKUP(CDV_PROY_AP!H33,FDV!$B$25:$E$30,IF(CDV_PROY_AP!$N$10="3F",3,4),FALSE)))))</f>
        <v/>
      </c>
      <c r="K33" s="63" t="str">
        <f t="shared" si="0"/>
        <v/>
      </c>
      <c r="L33" s="62" t="str">
        <f t="shared" si="1"/>
        <v/>
      </c>
      <c r="M33" s="62" t="str">
        <f>IF(C33="","",VLOOKUP(A33,B23:N50,11,FALSE)+L33)</f>
        <v/>
      </c>
      <c r="N33" s="155"/>
      <c r="S33" s="138">
        <f t="shared" si="4"/>
        <v>0</v>
      </c>
      <c r="T33" s="138">
        <f t="shared" si="5"/>
        <v>0</v>
      </c>
    </row>
    <row r="34" spans="1:20" ht="15">
      <c r="A34" s="167"/>
      <c r="B34" s="168"/>
      <c r="C34" s="169"/>
      <c r="D34" s="169"/>
      <c r="E34" s="170"/>
      <c r="F34" s="58" t="str">
        <f t="shared" si="2"/>
        <v/>
      </c>
      <c r="G34" s="59" t="str">
        <f t="shared" si="3"/>
        <v/>
      </c>
      <c r="H34" s="183"/>
      <c r="I34" s="183"/>
      <c r="J34" s="59" t="str">
        <f>IF(OR(H34="",$D$10="",$N$10=""),"",IF($D$10="COBRE",VLOOKUP(CDV_PROY_AP!H34,FDV!$B$16:$E$24,IF(CDV_PROY_AP!$N$10="3F",3,4),FALSE),IF($D$10="ACS",VLOOKUP(CDV_PROY_AP!H34,FDV!$B$10:$E$15,IF(CDV_PROY_AP!$N$10="3F",3,4),FALSE),IF($D$10="5005 (PREENSAMBLADO)",VLOOKUP(CDV_PROY_AP!H34,FDV!$B$4:$E$9,IF(CDV_PROY_AP!$N$10="3F",3,4),FALSE),VLOOKUP(CDV_PROY_AP!H34,FDV!$B$25:$E$30,IF(CDV_PROY_AP!$N$10="3F",3,4),FALSE)))))</f>
        <v/>
      </c>
      <c r="K34" s="63" t="str">
        <f t="shared" si="0"/>
        <v/>
      </c>
      <c r="L34" s="62" t="str">
        <f t="shared" si="1"/>
        <v/>
      </c>
      <c r="M34" s="62" t="str">
        <f>IF(C34="","",VLOOKUP(A34,B23:N50,11,FALSE)+L34)</f>
        <v/>
      </c>
      <c r="N34" s="155"/>
      <c r="S34" s="138">
        <f t="shared" si="4"/>
        <v>0</v>
      </c>
      <c r="T34" s="138">
        <f t="shared" si="5"/>
        <v>0</v>
      </c>
    </row>
    <row r="35" spans="1:20" ht="15">
      <c r="A35" s="167"/>
      <c r="B35" s="168"/>
      <c r="C35" s="169"/>
      <c r="D35" s="169"/>
      <c r="E35" s="170"/>
      <c r="F35" s="58" t="str">
        <f t="shared" si="2"/>
        <v/>
      </c>
      <c r="G35" s="59" t="str">
        <f t="shared" si="3"/>
        <v/>
      </c>
      <c r="H35" s="183"/>
      <c r="I35" s="183"/>
      <c r="J35" s="59" t="str">
        <f>IF(OR(H35="",$D$10="",$N$10=""),"",IF($D$10="COBRE",VLOOKUP(CDV_PROY_AP!H35,FDV!$B$16:$E$24,IF(CDV_PROY_AP!$N$10="3F",3,4),FALSE),IF($D$10="ACS",VLOOKUP(CDV_PROY_AP!H35,FDV!$B$10:$E$15,IF(CDV_PROY_AP!$N$10="3F",3,4),FALSE),IF($D$10="5005 (PREENSAMBLADO)",VLOOKUP(CDV_PROY_AP!H35,FDV!$B$4:$E$9,IF(CDV_PROY_AP!$N$10="3F",3,4),FALSE),VLOOKUP(CDV_PROY_AP!H35,FDV!$B$25:$E$30,IF(CDV_PROY_AP!$N$10="3F",3,4),FALSE)))))</f>
        <v/>
      </c>
      <c r="K35" s="63" t="str">
        <f t="shared" si="0"/>
        <v/>
      </c>
      <c r="L35" s="62" t="str">
        <f t="shared" si="1"/>
        <v/>
      </c>
      <c r="M35" s="62" t="str">
        <f>IF(C35="","",VLOOKUP(A35,B23:N50,11,FALSE)+L35)</f>
        <v/>
      </c>
      <c r="N35" s="155"/>
      <c r="S35" s="138">
        <f t="shared" si="4"/>
        <v>0</v>
      </c>
      <c r="T35" s="138">
        <f t="shared" si="5"/>
        <v>0</v>
      </c>
    </row>
    <row r="36" spans="1:20" ht="15">
      <c r="A36" s="167"/>
      <c r="B36" s="168"/>
      <c r="C36" s="169"/>
      <c r="D36" s="169"/>
      <c r="E36" s="170"/>
      <c r="F36" s="58" t="str">
        <f t="shared" si="2"/>
        <v/>
      </c>
      <c r="G36" s="59" t="str">
        <f t="shared" si="3"/>
        <v/>
      </c>
      <c r="H36" s="183"/>
      <c r="I36" s="183"/>
      <c r="J36" s="59" t="str">
        <f>IF(OR(H36="",$D$10="",$N$10=""),"",IF($D$10="COBRE",VLOOKUP(CDV_PROY_AP!H36,FDV!$B$16:$E$24,IF(CDV_PROY_AP!$N$10="3F",3,4),FALSE),IF($D$10="ACS",VLOOKUP(CDV_PROY_AP!H36,FDV!$B$10:$E$15,IF(CDV_PROY_AP!$N$10="3F",3,4),FALSE),IF($D$10="5005 (PREENSAMBLADO)",VLOOKUP(CDV_PROY_AP!H36,FDV!$B$4:$E$9,IF(CDV_PROY_AP!$N$10="3F",3,4),FALSE),VLOOKUP(CDV_PROY_AP!H36,FDV!$B$25:$E$30,IF(CDV_PROY_AP!$N$10="3F",3,4),FALSE)))))</f>
        <v/>
      </c>
      <c r="K36" s="63" t="str">
        <f t="shared" si="0"/>
        <v/>
      </c>
      <c r="L36" s="62" t="str">
        <f t="shared" si="1"/>
        <v/>
      </c>
      <c r="M36" s="62" t="str">
        <f>IF(C36="","",VLOOKUP(A36,B23:N50,11,FALSE)+L36)</f>
        <v/>
      </c>
      <c r="N36" s="155"/>
      <c r="S36" s="138">
        <f t="shared" si="4"/>
        <v>0</v>
      </c>
      <c r="T36" s="138">
        <f t="shared" si="5"/>
        <v>0</v>
      </c>
    </row>
    <row r="37" spans="1:20" ht="15">
      <c r="A37" s="167"/>
      <c r="B37" s="168"/>
      <c r="C37" s="169"/>
      <c r="D37" s="169"/>
      <c r="E37" s="170"/>
      <c r="F37" s="58" t="str">
        <f t="shared" si="2"/>
        <v/>
      </c>
      <c r="G37" s="59" t="str">
        <f t="shared" si="3"/>
        <v/>
      </c>
      <c r="H37" s="183"/>
      <c r="I37" s="183"/>
      <c r="J37" s="59" t="str">
        <f>IF(OR(H37="",$D$10="",$N$10=""),"",IF($D$10="COBRE",VLOOKUP(CDV_PROY_AP!H37,FDV!$B$16:$E$24,IF(CDV_PROY_AP!$N$10="3F",3,4),FALSE),IF($D$10="ACS",VLOOKUP(CDV_PROY_AP!H37,FDV!$B$10:$E$15,IF(CDV_PROY_AP!$N$10="3F",3,4),FALSE),IF($D$10="5005 (PREENSAMBLADO)",VLOOKUP(CDV_PROY_AP!H37,FDV!$B$4:$E$9,IF(CDV_PROY_AP!$N$10="3F",3,4),FALSE),VLOOKUP(CDV_PROY_AP!H37,FDV!$B$25:$E$30,IF(CDV_PROY_AP!$N$10="3F",3,4),FALSE)))))</f>
        <v/>
      </c>
      <c r="K37" s="63" t="str">
        <f t="shared" si="0"/>
        <v/>
      </c>
      <c r="L37" s="62" t="str">
        <f t="shared" si="1"/>
        <v/>
      </c>
      <c r="M37" s="62" t="str">
        <f>IF(C37="","",VLOOKUP(A37,B23:N50,11,FALSE)+L37)</f>
        <v/>
      </c>
      <c r="N37" s="155"/>
      <c r="S37" s="138">
        <f t="shared" si="4"/>
        <v>0</v>
      </c>
      <c r="T37" s="138">
        <f t="shared" si="5"/>
        <v>0</v>
      </c>
    </row>
    <row r="38" spans="1:20" ht="15">
      <c r="A38" s="167"/>
      <c r="B38" s="168"/>
      <c r="C38" s="169"/>
      <c r="D38" s="169"/>
      <c r="E38" s="170"/>
      <c r="F38" s="58" t="str">
        <f t="shared" si="2"/>
        <v/>
      </c>
      <c r="G38" s="59" t="str">
        <f t="shared" si="3"/>
        <v/>
      </c>
      <c r="H38" s="183"/>
      <c r="I38" s="183"/>
      <c r="J38" s="59" t="str">
        <f>IF(OR(H38="",$D$10="",$N$10=""),"",IF($D$10="COBRE",VLOOKUP(CDV_PROY_AP!H38,FDV!$B$16:$E$24,IF(CDV_PROY_AP!$N$10="3F",3,4),FALSE),IF($D$10="ACS",VLOOKUP(CDV_PROY_AP!H38,FDV!$B$10:$E$15,IF(CDV_PROY_AP!$N$10="3F",3,4),FALSE),IF($D$10="5005 (PREENSAMBLADO)",VLOOKUP(CDV_PROY_AP!H38,FDV!$B$4:$E$9,IF(CDV_PROY_AP!$N$10="3F",3,4),FALSE),VLOOKUP(CDV_PROY_AP!H38,FDV!$B$25:$E$30,IF(CDV_PROY_AP!$N$10="3F",3,4),FALSE)))))</f>
        <v/>
      </c>
      <c r="K38" s="63" t="str">
        <f t="shared" si="0"/>
        <v/>
      </c>
      <c r="L38" s="62" t="str">
        <f t="shared" si="1"/>
        <v/>
      </c>
      <c r="M38" s="62" t="str">
        <f>IF(C38="","",VLOOKUP(A38,B23:N50,11,FALSE)+L38)</f>
        <v/>
      </c>
      <c r="N38" s="155"/>
      <c r="S38" s="138">
        <f t="shared" si="4"/>
        <v>0</v>
      </c>
      <c r="T38" s="138">
        <f t="shared" si="5"/>
        <v>0</v>
      </c>
    </row>
    <row r="39" spans="1:20" ht="15">
      <c r="A39" s="167"/>
      <c r="B39" s="168"/>
      <c r="C39" s="169"/>
      <c r="D39" s="169"/>
      <c r="E39" s="170"/>
      <c r="F39" s="58" t="str">
        <f t="shared" si="2"/>
        <v/>
      </c>
      <c r="G39" s="59" t="str">
        <f t="shared" si="3"/>
        <v/>
      </c>
      <c r="H39" s="183"/>
      <c r="I39" s="183"/>
      <c r="J39" s="59" t="str">
        <f>IF(OR(H39="",$D$10="",$N$10=""),"",IF($D$10="COBRE",VLOOKUP(CDV_PROY_AP!H39,FDV!$B$16:$E$24,IF(CDV_PROY_AP!$N$10="3F",3,4),FALSE),IF($D$10="ACS",VLOOKUP(CDV_PROY_AP!H39,FDV!$B$10:$E$15,IF(CDV_PROY_AP!$N$10="3F",3,4),FALSE),IF($D$10="5005 (PREENSAMBLADO)",VLOOKUP(CDV_PROY_AP!H39,FDV!$B$4:$E$9,IF(CDV_PROY_AP!$N$10="3F",3,4),FALSE),VLOOKUP(CDV_PROY_AP!H39,FDV!$B$25:$E$30,IF(CDV_PROY_AP!$N$10="3F",3,4),FALSE)))))</f>
        <v/>
      </c>
      <c r="K39" s="63" t="str">
        <f t="shared" si="0"/>
        <v/>
      </c>
      <c r="L39" s="62" t="str">
        <f t="shared" si="1"/>
        <v/>
      </c>
      <c r="M39" s="62" t="str">
        <f>IF(C39="","",VLOOKUP(A39,B23:N50,11,FALSE)+L39)</f>
        <v/>
      </c>
      <c r="N39" s="155"/>
      <c r="S39" s="138">
        <f t="shared" si="4"/>
        <v>0</v>
      </c>
      <c r="T39" s="138">
        <f t="shared" si="5"/>
        <v>0</v>
      </c>
    </row>
    <row r="40" spans="1:20" ht="15">
      <c r="A40" s="167"/>
      <c r="B40" s="168"/>
      <c r="C40" s="169"/>
      <c r="D40" s="169"/>
      <c r="E40" s="170"/>
      <c r="F40" s="58" t="str">
        <f t="shared" si="2"/>
        <v/>
      </c>
      <c r="G40" s="59" t="str">
        <f t="shared" si="3"/>
        <v/>
      </c>
      <c r="H40" s="183"/>
      <c r="I40" s="183"/>
      <c r="J40" s="59" t="str">
        <f>IF(OR(H40="",$D$10="",$N$10=""),"",IF($D$10="COBRE",VLOOKUP(CDV_PROY_AP!H40,FDV!$B$16:$E$24,IF(CDV_PROY_AP!$N$10="3F",3,4),FALSE),IF($D$10="ACS",VLOOKUP(CDV_PROY_AP!H40,FDV!$B$10:$E$15,IF(CDV_PROY_AP!$N$10="3F",3,4),FALSE),IF($D$10="5005 (PREENSAMBLADO)",VLOOKUP(CDV_PROY_AP!H40,FDV!$B$4:$E$9,IF(CDV_PROY_AP!$N$10="3F",3,4),FALSE),VLOOKUP(CDV_PROY_AP!H40,FDV!$B$25:$E$30,IF(CDV_PROY_AP!$N$10="3F",3,4),FALSE)))))</f>
        <v/>
      </c>
      <c r="K40" s="63" t="str">
        <f t="shared" si="0"/>
        <v/>
      </c>
      <c r="L40" s="62" t="str">
        <f t="shared" si="1"/>
        <v/>
      </c>
      <c r="M40" s="62" t="str">
        <f>IF(C40="","",VLOOKUP(A40,B23:N50,11,FALSE)+L40)</f>
        <v/>
      </c>
      <c r="N40" s="155"/>
      <c r="S40" s="138">
        <f t="shared" si="4"/>
        <v>0</v>
      </c>
      <c r="T40" s="138">
        <f t="shared" si="5"/>
        <v>0</v>
      </c>
    </row>
    <row r="41" spans="1:20" ht="15">
      <c r="A41" s="167"/>
      <c r="B41" s="168"/>
      <c r="C41" s="169"/>
      <c r="D41" s="169"/>
      <c r="E41" s="170"/>
      <c r="F41" s="58" t="str">
        <f t="shared" si="2"/>
        <v/>
      </c>
      <c r="G41" s="59" t="str">
        <f t="shared" si="3"/>
        <v/>
      </c>
      <c r="H41" s="183"/>
      <c r="I41" s="183"/>
      <c r="J41" s="59" t="str">
        <f>IF(OR(H41="",$D$10="",$N$10=""),"",IF($D$10="COBRE",VLOOKUP(CDV_PROY_AP!H41,FDV!$B$16:$E$24,IF(CDV_PROY_AP!$N$10="3F",3,4),FALSE),IF($D$10="ACS",VLOOKUP(CDV_PROY_AP!H41,FDV!$B$10:$E$15,IF(CDV_PROY_AP!$N$10="3F",3,4),FALSE),IF($D$10="5005 (PREENSAMBLADO)",VLOOKUP(CDV_PROY_AP!H41,FDV!$B$4:$E$9,IF(CDV_PROY_AP!$N$10="3F",3,4),FALSE),VLOOKUP(CDV_PROY_AP!H41,FDV!$B$25:$E$30,IF(CDV_PROY_AP!$N$10="3F",3,4),FALSE)))))</f>
        <v/>
      </c>
      <c r="K41" s="63" t="str">
        <f t="shared" si="0"/>
        <v/>
      </c>
      <c r="L41" s="62" t="str">
        <f t="shared" si="1"/>
        <v/>
      </c>
      <c r="M41" s="62" t="str">
        <f>IF(C41="","",VLOOKUP(A41,B23:N50,11,FALSE)+L41)</f>
        <v/>
      </c>
      <c r="N41" s="155"/>
      <c r="S41" s="138">
        <f t="shared" si="4"/>
        <v>0</v>
      </c>
      <c r="T41" s="138">
        <f t="shared" si="5"/>
        <v>0</v>
      </c>
    </row>
    <row r="42" spans="1:20" ht="15">
      <c r="A42" s="167"/>
      <c r="B42" s="168"/>
      <c r="C42" s="169"/>
      <c r="D42" s="169"/>
      <c r="E42" s="170"/>
      <c r="F42" s="58" t="str">
        <f t="shared" si="2"/>
        <v/>
      </c>
      <c r="G42" s="59" t="str">
        <f t="shared" si="3"/>
        <v/>
      </c>
      <c r="H42" s="183"/>
      <c r="I42" s="183"/>
      <c r="J42" s="59" t="str">
        <f>IF(OR(H42="",$D$10="",$N$10=""),"",IF($D$10="COBRE",VLOOKUP(CDV_PROY_AP!H42,FDV!$B$16:$E$24,IF(CDV_PROY_AP!$N$10="3F",3,4),FALSE),IF($D$10="ACS",VLOOKUP(CDV_PROY_AP!H42,FDV!$B$10:$E$15,IF(CDV_PROY_AP!$N$10="3F",3,4),FALSE),IF($D$10="5005 (PREENSAMBLADO)",VLOOKUP(CDV_PROY_AP!H42,FDV!$B$4:$E$9,IF(CDV_PROY_AP!$N$10="3F",3,4),FALSE),VLOOKUP(CDV_PROY_AP!H42,FDV!$B$25:$E$30,IF(CDV_PROY_AP!$N$10="3F",3,4),FALSE)))))</f>
        <v/>
      </c>
      <c r="K42" s="63" t="str">
        <f t="shared" si="0"/>
        <v/>
      </c>
      <c r="L42" s="62" t="str">
        <f t="shared" si="1"/>
        <v/>
      </c>
      <c r="M42" s="62" t="str">
        <f>IF(C42="","",VLOOKUP(A42,B23:N50,11,FALSE)+L42)</f>
        <v/>
      </c>
      <c r="N42" s="155"/>
      <c r="S42" s="138">
        <f t="shared" si="4"/>
        <v>0</v>
      </c>
      <c r="T42" s="138">
        <f t="shared" si="5"/>
        <v>0</v>
      </c>
    </row>
    <row r="43" spans="1:20" ht="15">
      <c r="A43" s="167"/>
      <c r="B43" s="168"/>
      <c r="C43" s="169"/>
      <c r="D43" s="169"/>
      <c r="E43" s="170"/>
      <c r="F43" s="58" t="str">
        <f t="shared" si="2"/>
        <v/>
      </c>
      <c r="G43" s="59" t="str">
        <f t="shared" si="3"/>
        <v/>
      </c>
      <c r="H43" s="183"/>
      <c r="I43" s="183"/>
      <c r="J43" s="59" t="str">
        <f>IF(OR(H43="",$D$10="",$N$10=""),"",IF($D$10="COBRE",VLOOKUP(CDV_PROY_AP!H43,FDV!$B$16:$E$24,IF(CDV_PROY_AP!$N$10="3F",3,4),FALSE),IF($D$10="ACS",VLOOKUP(CDV_PROY_AP!H43,FDV!$B$10:$E$15,IF(CDV_PROY_AP!$N$10="3F",3,4),FALSE),IF($D$10="5005 (PREENSAMBLADO)",VLOOKUP(CDV_PROY_AP!H43,FDV!$B$4:$E$9,IF(CDV_PROY_AP!$N$10="3F",3,4),FALSE),VLOOKUP(CDV_PROY_AP!H43,FDV!$B$25:$E$30,IF(CDV_PROY_AP!$N$10="3F",3,4),FALSE)))))</f>
        <v/>
      </c>
      <c r="K43" s="63" t="str">
        <f t="shared" si="0"/>
        <v/>
      </c>
      <c r="L43" s="62" t="str">
        <f t="shared" si="1"/>
        <v/>
      </c>
      <c r="M43" s="62" t="str">
        <f>IF(C43="","",VLOOKUP(A43,B23:N50,11,FALSE)+L43)</f>
        <v/>
      </c>
      <c r="N43" s="155"/>
      <c r="S43" s="138">
        <f t="shared" si="4"/>
        <v>0</v>
      </c>
      <c r="T43" s="138">
        <f t="shared" si="5"/>
        <v>0</v>
      </c>
    </row>
    <row r="44" spans="1:20" ht="15">
      <c r="A44" s="167"/>
      <c r="B44" s="168"/>
      <c r="C44" s="169"/>
      <c r="D44" s="169"/>
      <c r="E44" s="170"/>
      <c r="F44" s="58" t="str">
        <f t="shared" si="2"/>
        <v/>
      </c>
      <c r="G44" s="59" t="str">
        <f t="shared" si="3"/>
        <v/>
      </c>
      <c r="H44" s="183"/>
      <c r="I44" s="183"/>
      <c r="J44" s="59" t="str">
        <f>IF(OR(H44="",$D$10="",$N$10=""),"",IF($D$10="COBRE",VLOOKUP(CDV_PROY_AP!H44,FDV!$B$16:$E$24,IF(CDV_PROY_AP!$N$10="3F",3,4),FALSE),IF($D$10="ACS",VLOOKUP(CDV_PROY_AP!H44,FDV!$B$10:$E$15,IF(CDV_PROY_AP!$N$10="3F",3,4),FALSE),IF($D$10="5005 (PREENSAMBLADO)",VLOOKUP(CDV_PROY_AP!H44,FDV!$B$4:$E$9,IF(CDV_PROY_AP!$N$10="3F",3,4),FALSE),VLOOKUP(CDV_PROY_AP!H44,FDV!$B$25:$E$30,IF(CDV_PROY_AP!$N$10="3F",3,4),FALSE)))))</f>
        <v/>
      </c>
      <c r="K44" s="63" t="str">
        <f t="shared" si="0"/>
        <v/>
      </c>
      <c r="L44" s="62" t="str">
        <f t="shared" si="1"/>
        <v/>
      </c>
      <c r="M44" s="62" t="str">
        <f>IF(C44="","",VLOOKUP(A44,B23:N50,11,FALSE)+L44)</f>
        <v/>
      </c>
      <c r="N44" s="155"/>
      <c r="S44" s="138">
        <f t="shared" si="4"/>
        <v>0</v>
      </c>
      <c r="T44" s="138">
        <f t="shared" si="5"/>
        <v>0</v>
      </c>
    </row>
    <row r="45" spans="1:20" ht="15">
      <c r="A45" s="167"/>
      <c r="B45" s="168"/>
      <c r="C45" s="169"/>
      <c r="D45" s="169"/>
      <c r="E45" s="170"/>
      <c r="F45" s="58" t="str">
        <f t="shared" si="2"/>
        <v/>
      </c>
      <c r="G45" s="59" t="str">
        <f t="shared" si="3"/>
        <v/>
      </c>
      <c r="H45" s="183"/>
      <c r="I45" s="183"/>
      <c r="J45" s="59" t="str">
        <f>IF(OR(H45="",$D$10="",$N$10=""),"",IF($D$10="COBRE",VLOOKUP(CDV_PROY_AP!H45,FDV!$B$16:$E$24,IF(CDV_PROY_AP!$N$10="3F",3,4),FALSE),IF($D$10="ACS",VLOOKUP(CDV_PROY_AP!H45,FDV!$B$10:$E$15,IF(CDV_PROY_AP!$N$10="3F",3,4),FALSE),IF($D$10="5005 (PREENSAMBLADO)",VLOOKUP(CDV_PROY_AP!H45,FDV!$B$4:$E$9,IF(CDV_PROY_AP!$N$10="3F",3,4),FALSE),VLOOKUP(CDV_PROY_AP!H45,FDV!$B$25:$E$30,IF(CDV_PROY_AP!$N$10="3F",3,4),FALSE)))))</f>
        <v/>
      </c>
      <c r="K45" s="63" t="str">
        <f t="shared" si="0"/>
        <v/>
      </c>
      <c r="L45" s="62" t="str">
        <f t="shared" si="1"/>
        <v/>
      </c>
      <c r="M45" s="62" t="str">
        <f>IF(C45="","",VLOOKUP(A45,B23:N50,11,FALSE)+L45)</f>
        <v/>
      </c>
      <c r="N45" s="155"/>
      <c r="S45" s="138">
        <f t="shared" si="4"/>
        <v>0</v>
      </c>
      <c r="T45" s="138">
        <f t="shared" si="5"/>
        <v>0</v>
      </c>
    </row>
    <row r="46" spans="1:20" ht="15">
      <c r="A46" s="167"/>
      <c r="B46" s="168"/>
      <c r="C46" s="169"/>
      <c r="D46" s="169"/>
      <c r="E46" s="170"/>
      <c r="F46" s="58" t="str">
        <f t="shared" si="2"/>
        <v/>
      </c>
      <c r="G46" s="59" t="str">
        <f t="shared" si="3"/>
        <v/>
      </c>
      <c r="H46" s="183"/>
      <c r="I46" s="183"/>
      <c r="J46" s="59" t="str">
        <f>IF(OR(H46="",$D$10="",$N$10=""),"",IF($D$10="COBRE",VLOOKUP(CDV_PROY_AP!H46,FDV!$B$16:$E$24,IF(CDV_PROY_AP!$N$10="3F",3,4),FALSE),IF($D$10="ACS",VLOOKUP(CDV_PROY_AP!H46,FDV!$B$10:$E$15,IF(CDV_PROY_AP!$N$10="3F",3,4),FALSE),IF($D$10="5005 (PREENSAMBLADO)",VLOOKUP(CDV_PROY_AP!H46,FDV!$B$4:$E$9,IF(CDV_PROY_AP!$N$10="3F",3,4),FALSE),VLOOKUP(CDV_PROY_AP!H46,FDV!$B$25:$E$30,IF(CDV_PROY_AP!$N$10="3F",3,4),FALSE)))))</f>
        <v/>
      </c>
      <c r="K46" s="63" t="str">
        <f t="shared" si="0"/>
        <v/>
      </c>
      <c r="L46" s="62" t="str">
        <f t="shared" si="1"/>
        <v/>
      </c>
      <c r="M46" s="62" t="str">
        <f>IF(C46="","",VLOOKUP(A46,B23:N50,11,FALSE)+L46)</f>
        <v/>
      </c>
      <c r="N46" s="155"/>
      <c r="S46" s="138">
        <f t="shared" si="4"/>
        <v>0</v>
      </c>
      <c r="T46" s="138">
        <f t="shared" si="5"/>
        <v>0</v>
      </c>
    </row>
    <row r="47" spans="1:20" ht="15">
      <c r="A47" s="167"/>
      <c r="B47" s="168"/>
      <c r="C47" s="169"/>
      <c r="D47" s="169"/>
      <c r="E47" s="170"/>
      <c r="F47" s="58" t="str">
        <f t="shared" si="2"/>
        <v/>
      </c>
      <c r="G47" s="59" t="str">
        <f t="shared" si="3"/>
        <v/>
      </c>
      <c r="H47" s="183"/>
      <c r="I47" s="183"/>
      <c r="J47" s="59" t="str">
        <f>IF(OR(H47="",$D$10="",$N$10=""),"",IF($D$10="COBRE",VLOOKUP(CDV_PROY_AP!H47,FDV!$B$16:$E$24,IF(CDV_PROY_AP!$N$10="3F",3,4),FALSE),IF($D$10="ACS",VLOOKUP(CDV_PROY_AP!H47,FDV!$B$10:$E$15,IF(CDV_PROY_AP!$N$10="3F",3,4),FALSE),IF($D$10="5005 (PREENSAMBLADO)",VLOOKUP(CDV_PROY_AP!H47,FDV!$B$4:$E$9,IF(CDV_PROY_AP!$N$10="3F",3,4),FALSE),VLOOKUP(CDV_PROY_AP!H47,FDV!$B$25:$E$30,IF(CDV_PROY_AP!$N$10="3F",3,4),FALSE)))))</f>
        <v/>
      </c>
      <c r="K47" s="63" t="str">
        <f t="shared" si="0"/>
        <v/>
      </c>
      <c r="L47" s="62" t="str">
        <f t="shared" si="1"/>
        <v/>
      </c>
      <c r="M47" s="62" t="str">
        <f>IF(C47="","",VLOOKUP(A47,B23:N50,11,FALSE)+L47)</f>
        <v/>
      </c>
      <c r="N47" s="155"/>
      <c r="S47" s="138">
        <f t="shared" si="4"/>
        <v>0</v>
      </c>
      <c r="T47" s="138">
        <f t="shared" si="5"/>
        <v>0</v>
      </c>
    </row>
    <row r="48" spans="1:20" ht="15">
      <c r="A48" s="167"/>
      <c r="B48" s="168"/>
      <c r="C48" s="169"/>
      <c r="D48" s="169"/>
      <c r="E48" s="170"/>
      <c r="F48" s="58" t="str">
        <f t="shared" si="2"/>
        <v/>
      </c>
      <c r="G48" s="59" t="str">
        <f t="shared" si="3"/>
        <v/>
      </c>
      <c r="H48" s="183"/>
      <c r="I48" s="183"/>
      <c r="J48" s="59" t="str">
        <f>IF(OR(H48="",$D$10="",$N$10=""),"",IF($D$10="COBRE",VLOOKUP(CDV_PROY_AP!H48,FDV!$B$16:$E$24,IF(CDV_PROY_AP!$N$10="3F",3,4),FALSE),IF($D$10="ACS",VLOOKUP(CDV_PROY_AP!H48,FDV!$B$10:$E$15,IF(CDV_PROY_AP!$N$10="3F",3,4),FALSE),IF($D$10="5005 (PREENSAMBLADO)",VLOOKUP(CDV_PROY_AP!H48,FDV!$B$4:$E$9,IF(CDV_PROY_AP!$N$10="3F",3,4),FALSE),VLOOKUP(CDV_PROY_AP!H48,FDV!$B$25:$E$30,IF(CDV_PROY_AP!$N$10="3F",3,4),FALSE)))))</f>
        <v/>
      </c>
      <c r="K48" s="63" t="str">
        <f t="shared" si="0"/>
        <v/>
      </c>
      <c r="L48" s="62" t="str">
        <f t="shared" si="1"/>
        <v/>
      </c>
      <c r="M48" s="62" t="str">
        <f>IF(C48="","",VLOOKUP(A48,B23:N50,11,FALSE)+L48)</f>
        <v/>
      </c>
      <c r="N48" s="156"/>
      <c r="S48" s="138">
        <f t="shared" si="4"/>
        <v>0</v>
      </c>
      <c r="T48" s="138">
        <f t="shared" si="5"/>
        <v>0</v>
      </c>
    </row>
    <row r="49" spans="1:20" ht="15.75" thickBot="1">
      <c r="A49" s="178"/>
      <c r="B49" s="179"/>
      <c r="C49" s="180"/>
      <c r="D49" s="180"/>
      <c r="E49" s="181"/>
      <c r="F49" s="68" t="str">
        <f t="shared" si="2"/>
        <v/>
      </c>
      <c r="G49" s="69" t="str">
        <f t="shared" si="3"/>
        <v/>
      </c>
      <c r="H49" s="184"/>
      <c r="I49" s="184"/>
      <c r="J49" s="69" t="str">
        <f>IF(OR(H49="",$D$10="",$N$10=""),"",IF($D$10="COBRE",VLOOKUP(CDV_PROY_AP!H49,FDV!$B$16:$E$24,IF(CDV_PROY_AP!$N$10="3F",3,4),FALSE),IF($D$10="ACS",VLOOKUP(CDV_PROY_AP!H49,FDV!$B$10:$E$15,IF(CDV_PROY_AP!$N$10="3F",3,4),FALSE),IF($D$10="5005 (PREENSAMBLADO)",VLOOKUP(CDV_PROY_AP!H49,FDV!$B$4:$E$9,IF(CDV_PROY_AP!$N$10="3F",3,4),FALSE),VLOOKUP(CDV_PROY_AP!H49,FDV!$B$25:$E$30,IF(CDV_PROY_AP!$N$10="3F",3,4),FALSE)))))</f>
        <v/>
      </c>
      <c r="K49" s="65" t="str">
        <f t="shared" si="0"/>
        <v/>
      </c>
      <c r="L49" s="64" t="str">
        <f t="shared" si="1"/>
        <v/>
      </c>
      <c r="M49" s="64" t="str">
        <f>IF(C49="","",VLOOKUP(A49,B23:N50,11,FALSE)+L49)</f>
        <v/>
      </c>
      <c r="N49" s="157" t="str">
        <f aca="true" t="shared" si="6" ref="N49">+M49</f>
        <v/>
      </c>
      <c r="S49" s="138">
        <f t="shared" si="4"/>
        <v>0</v>
      </c>
      <c r="T49" s="138">
        <f t="shared" si="5"/>
        <v>0</v>
      </c>
    </row>
    <row r="50" spans="1:20" ht="15.75" hidden="1" thickBot="1">
      <c r="A50" s="143"/>
      <c r="B50" s="67" t="str">
        <f>IF(N19="","",N19)</f>
        <v/>
      </c>
      <c r="C50" s="144"/>
      <c r="D50" s="144"/>
      <c r="E50" s="145"/>
      <c r="F50" s="68" t="str">
        <f t="shared" si="2"/>
        <v/>
      </c>
      <c r="G50" s="69" t="str">
        <f aca="true" t="shared" si="7" ref="G50">IF(OR($N$10="",D50=""),"",IF($N$10="1F",1,3))</f>
        <v/>
      </c>
      <c r="H50" s="146">
        <v>2</v>
      </c>
      <c r="I50" s="146"/>
      <c r="J50" s="70" t="str">
        <f>IF(OR(H50="",$D$10="",$N$10=""),"",IF($D$10="COBRE",VLOOKUP(CDV_PROY_AP!H50,FDV!$B$16:$E$24,IF(CDV_PROY_AP!$N$10="3F",3,4),FALSE),IF($D$10="ACS",VLOOKUP(CDV_PROY_AP!H50,FDV!$B$10:$E$15,IF(CDV_PROY_AP!$N$10="3F",3,4),FALSE),IF($D$10="5005 (PREENSAMBLADO)",VLOOKUP(CDV_PROY_AP!H50,FDV!$B$4:$E$9,IF(CDV_PROY_AP!$N$10="3F",3,4),FALSE),VLOOKUP(CDV_PROY_AP!H50,FDV!$B$25:$E$30,IF(CDV_PROY_AP!$N$10="3F",3,4),FALSE)))))</f>
        <v/>
      </c>
      <c r="K50" s="71" t="str">
        <f t="shared" si="0"/>
        <v/>
      </c>
      <c r="L50" s="68" t="str">
        <f>IF(C50="","",ROUND(K50/J50,2))</f>
        <v/>
      </c>
      <c r="M50" s="72">
        <v>0</v>
      </c>
      <c r="N50" s="66"/>
      <c r="S50" s="138">
        <f aca="true" t="shared" si="8" ref="S50:S51">+IF(D50&gt;0,C50,0)</f>
        <v>0</v>
      </c>
      <c r="T50" s="138">
        <f t="shared" si="5"/>
        <v>0</v>
      </c>
    </row>
    <row r="51" spans="1:20" ht="15.75" thickBot="1">
      <c r="A51" s="73" t="s">
        <v>112</v>
      </c>
      <c r="B51" s="74"/>
      <c r="C51" s="75"/>
      <c r="D51" s="75"/>
      <c r="E51" s="76"/>
      <c r="F51" s="77"/>
      <c r="G51" s="78"/>
      <c r="H51" s="79"/>
      <c r="I51" s="79"/>
      <c r="J51" s="78"/>
      <c r="K51" s="93" t="s">
        <v>124</v>
      </c>
      <c r="L51" s="94">
        <f>ROUND((SUMIF(H22:H48,"6",T22:T50))*1.015,0)</f>
        <v>0</v>
      </c>
      <c r="M51" s="128"/>
      <c r="N51" s="309"/>
      <c r="S51" s="138">
        <f t="shared" si="8"/>
        <v>0</v>
      </c>
      <c r="T51" s="138">
        <f t="shared" si="5"/>
        <v>0</v>
      </c>
    </row>
    <row r="52" spans="1:14" ht="15.75" thickBot="1">
      <c r="A52" s="93" t="s">
        <v>96</v>
      </c>
      <c r="B52" s="94">
        <f>+ROUND(SUMIF(H23:H49,"4/0",T23:T51)*1.015,0)</f>
        <v>0</v>
      </c>
      <c r="C52" s="93" t="s">
        <v>97</v>
      </c>
      <c r="D52" s="94">
        <f>ROUND((SUMIF(H23:H49,"3/0",T23:T51))*1.015,0)</f>
        <v>0</v>
      </c>
      <c r="E52" s="82" t="s">
        <v>95</v>
      </c>
      <c r="F52" s="81">
        <f>ROUND((SUMIF(H23:H49,"2/0",T23:T51))*1.015,0)</f>
        <v>0</v>
      </c>
      <c r="G52" s="80" t="s">
        <v>57</v>
      </c>
      <c r="H52" s="81">
        <f>ROUND((SUMIF(H23:H49,"1/0",T23:T51))*1.015,0)</f>
        <v>0</v>
      </c>
      <c r="I52" s="93" t="s">
        <v>58</v>
      </c>
      <c r="J52" s="94">
        <f>ROUND((SUMIF(H23:H49,"2",T23:T51))*1.015,0)</f>
        <v>0</v>
      </c>
      <c r="K52" s="93" t="s">
        <v>123</v>
      </c>
      <c r="L52" s="94">
        <f>ROUND((SUMIF(H23:H49,"4",T23:T51))*1.015,0)</f>
        <v>0</v>
      </c>
      <c r="M52" s="92"/>
      <c r="N52" s="310"/>
    </row>
    <row r="53" spans="1:14" ht="15.75" thickBot="1">
      <c r="A53" s="119" t="s">
        <v>107</v>
      </c>
      <c r="B53" s="92"/>
      <c r="C53" s="91"/>
      <c r="D53" s="92"/>
      <c r="E53" s="91"/>
      <c r="F53" s="92"/>
      <c r="G53" s="91"/>
      <c r="H53" s="92"/>
      <c r="I53" s="92"/>
      <c r="J53" s="91"/>
      <c r="K53" s="92"/>
      <c r="L53" s="91"/>
      <c r="M53" s="92"/>
      <c r="N53" s="310"/>
    </row>
    <row r="54" spans="1:14" ht="15.75" thickBot="1">
      <c r="A54" s="93" t="s">
        <v>96</v>
      </c>
      <c r="B54" s="94">
        <f>+ROUND(SUMIF(I23:I49,"4/0",S23:S51)*1.015,0)</f>
        <v>0</v>
      </c>
      <c r="C54" s="93" t="s">
        <v>97</v>
      </c>
      <c r="D54" s="94">
        <f>ROUND((SUMIF(I23:I49,"3/0",S23:S51))*1.015,0)</f>
        <v>0</v>
      </c>
      <c r="E54" s="93" t="s">
        <v>95</v>
      </c>
      <c r="F54" s="94">
        <f>ROUND((SUMIF(I23:I49,"2/0",S23:S51))*1.015,0)</f>
        <v>0</v>
      </c>
      <c r="G54" s="93" t="s">
        <v>57</v>
      </c>
      <c r="H54" s="94">
        <f>ROUND((SUMIF(I23:I49,"1/0",S23:S51))*1.015,0)</f>
        <v>0</v>
      </c>
      <c r="I54" s="93" t="s">
        <v>58</v>
      </c>
      <c r="J54" s="94">
        <f>ROUND((SUMIF(I23:I49,"2",S23:S51))*1.015,0)</f>
        <v>0</v>
      </c>
      <c r="K54" s="93" t="s">
        <v>123</v>
      </c>
      <c r="L54" s="94">
        <f>ROUND((SUMIF(I23:I49,"4",S23:S51))*1.015,0)</f>
        <v>0</v>
      </c>
      <c r="M54" s="92"/>
      <c r="N54" s="310"/>
    </row>
    <row r="55" spans="1:14" ht="15.75" thickBot="1">
      <c r="A55" s="269" t="s">
        <v>122</v>
      </c>
      <c r="B55" s="269"/>
      <c r="C55" s="269"/>
      <c r="D55" s="21" t="str">
        <f>IF(N10="","",SUM(C23:C49))</f>
        <v/>
      </c>
      <c r="E55" s="28" t="s">
        <v>59</v>
      </c>
      <c r="G55" s="21"/>
      <c r="H55" s="21"/>
      <c r="I55" s="21"/>
      <c r="J55" s="21"/>
      <c r="K55" s="93" t="s">
        <v>124</v>
      </c>
      <c r="L55" s="94">
        <f>ROUND((SUMIF(I23:I49,"6",S23:S51))*1.015,0)</f>
        <v>0</v>
      </c>
      <c r="M55" s="23"/>
      <c r="N55" s="83" t="s">
        <v>80</v>
      </c>
    </row>
    <row r="56" spans="1:14" ht="15">
      <c r="A56" s="36" t="s">
        <v>60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4"/>
      <c r="N56" s="84" t="s">
        <v>61</v>
      </c>
    </row>
    <row r="57" spans="1:14" ht="15.75" thickBot="1">
      <c r="A57" s="148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8"/>
      <c r="N57" s="85">
        <f>MAX(N23:N49)</f>
        <v>0</v>
      </c>
    </row>
  </sheetData>
  <mergeCells count="22">
    <mergeCell ref="M6:N6"/>
    <mergeCell ref="A55:C55"/>
    <mergeCell ref="D6:E6"/>
    <mergeCell ref="F6:G6"/>
    <mergeCell ref="H6:J6"/>
    <mergeCell ref="K6:L6"/>
    <mergeCell ref="B57:M57"/>
    <mergeCell ref="T21:T22"/>
    <mergeCell ref="N51:N54"/>
    <mergeCell ref="B56:M56"/>
    <mergeCell ref="D8:F8"/>
    <mergeCell ref="D10:E10"/>
    <mergeCell ref="H13:J13"/>
    <mergeCell ref="H14:J14"/>
    <mergeCell ref="A15:J15"/>
    <mergeCell ref="A21:B21"/>
    <mergeCell ref="G21:J21"/>
    <mergeCell ref="A13:C13"/>
    <mergeCell ref="A14:C14"/>
    <mergeCell ref="K21:K22"/>
    <mergeCell ref="L21:N21"/>
    <mergeCell ref="S21:S22"/>
  </mergeCells>
  <conditionalFormatting sqref="N23:N40 N42:N50">
    <cfRule type="expression" priority="1" dxfId="0" stopIfTrue="1">
      <formula>$V22&gt;0</formula>
    </cfRule>
  </conditionalFormatting>
  <conditionalFormatting sqref="D8">
    <cfRule type="cellIs" priority="2" dxfId="2" operator="equal" stopIfTrue="1">
      <formula>""""""</formula>
    </cfRule>
  </conditionalFormatting>
  <conditionalFormatting sqref="N1 D6 H6 M6 D8 D10 D12 D13 D14 H13 H14 N10 N12 N19">
    <cfRule type="cellIs" priority="3" dxfId="1" operator="equal" stopIfTrue="1">
      <formula>""</formula>
    </cfRule>
  </conditionalFormatting>
  <conditionalFormatting sqref="N41">
    <cfRule type="expression" priority="4" dxfId="0" stopIfTrue="1">
      <formula>#REF!&gt;0</formula>
    </cfRule>
  </conditionalFormatting>
  <dataValidations count="7">
    <dataValidation type="list" allowBlank="1" showInputMessage="1" showErrorMessage="1" sqref="D8">
      <formula1>$U$5:$U$7</formula1>
    </dataValidation>
    <dataValidation type="list" allowBlank="1" showInputMessage="1" showErrorMessage="1" sqref="D6">
      <formula1>$S$5:$S$8</formula1>
    </dataValidation>
    <dataValidation type="list" allowBlank="1" showInputMessage="1" showErrorMessage="1" sqref="D10">
      <formula1>$W$5:$W$8</formula1>
    </dataValidation>
    <dataValidation type="list" allowBlank="1" showInputMessage="1" showErrorMessage="1" sqref="N10">
      <formula1>$Z$5:$Z$6</formula1>
    </dataValidation>
    <dataValidation type="list" allowBlank="1" showInputMessage="1" showErrorMessage="1" sqref="D13">
      <formula1>$R$5:$R$6</formula1>
    </dataValidation>
    <dataValidation type="list" allowBlank="1" showInputMessage="1" showErrorMessage="1" sqref="H50">
      <formula1>$AA$6:$AA$11</formula1>
    </dataValidation>
    <dataValidation type="list" allowBlank="1" showInputMessage="1" showErrorMessage="1" sqref="H23:I49">
      <formula1>$AA$5:$AA$11</formula1>
    </dataValidation>
  </dataValidations>
  <printOptions/>
  <pageMargins left="0.7" right="0.7" top="0.75" bottom="0.75" header="0.3" footer="0.3"/>
  <pageSetup horizontalDpi="600" verticalDpi="600" orientation="portrait" scale="6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F1">
      <selection activeCell="U7" sqref="U7"/>
    </sheetView>
  </sheetViews>
  <sheetFormatPr defaultColWidth="11.421875" defaultRowHeight="15"/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45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134</v>
      </c>
      <c r="Q2" s="321"/>
      <c r="R2" s="321"/>
      <c r="S2" s="321"/>
      <c r="U2" s="198" t="s">
        <v>131</v>
      </c>
      <c r="V2" s="203" t="s">
        <v>130</v>
      </c>
      <c r="W2" s="198" t="s">
        <v>132</v>
      </c>
    </row>
    <row r="3" spans="1:24" ht="4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129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473.63381426153717</v>
      </c>
      <c r="G4" s="4">
        <v>5</v>
      </c>
      <c r="H4" s="13">
        <v>5.43</v>
      </c>
      <c r="I4" s="5">
        <v>369.6140969218079</v>
      </c>
      <c r="J4" s="6">
        <v>5</v>
      </c>
      <c r="K4" s="14">
        <v>4.344</v>
      </c>
      <c r="L4" s="7">
        <v>240.7158842769254</v>
      </c>
      <c r="M4" s="8">
        <v>5</v>
      </c>
      <c r="O4" s="196">
        <v>1</v>
      </c>
      <c r="P4" s="10">
        <v>8.908889039986956</v>
      </c>
      <c r="Q4" s="11">
        <v>4.598226286239839</v>
      </c>
      <c r="R4" s="13">
        <v>3.6921641062313855</v>
      </c>
      <c r="S4" s="14">
        <v>2.5261274200886312</v>
      </c>
      <c r="T4" s="200">
        <f>+POWER(A4,0.91)</f>
        <v>1</v>
      </c>
      <c r="U4" s="200">
        <f aca="true" t="shared" si="0" ref="U4:U35">+T4*$U$3</f>
        <v>8.12</v>
      </c>
      <c r="V4" s="200">
        <f aca="true" t="shared" si="1" ref="V4:V35">+T4*$V$3</f>
        <v>7.64</v>
      </c>
      <c r="W4" s="200">
        <f aca="true" t="shared" si="2" ref="W4:W35">+T4*$W$3</f>
        <v>5.43</v>
      </c>
      <c r="X4" s="200">
        <f aca="true" t="shared" si="3" ref="X4:X35"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460.7600795735811</v>
      </c>
      <c r="G5" s="4">
        <v>10</v>
      </c>
      <c r="H5" s="13">
        <v>10.203217056464167</v>
      </c>
      <c r="I5" s="5">
        <v>357.1071898034935</v>
      </c>
      <c r="J5" s="6">
        <v>10</v>
      </c>
      <c r="K5" s="14">
        <v>8.162573645171335</v>
      </c>
      <c r="L5" s="7">
        <v>231.19503960959696</v>
      </c>
      <c r="M5" s="8">
        <v>5</v>
      </c>
      <c r="O5" s="196">
        <v>2</v>
      </c>
      <c r="P5" s="10">
        <v>16.082077694815176</v>
      </c>
      <c r="Q5" s="11">
        <v>8.100603837772908</v>
      </c>
      <c r="R5" s="13">
        <v>6.465005694185421</v>
      </c>
      <c r="S5" s="14">
        <v>4.400106000208349</v>
      </c>
      <c r="T5" s="200">
        <f aca="true" t="shared" si="4" ref="T5:T68">+POWER(A5,0.91)</f>
        <v>1.8790454984280236</v>
      </c>
      <c r="U5" s="200">
        <f t="shared" si="0"/>
        <v>15.25784944723555</v>
      </c>
      <c r="V5" s="200">
        <f t="shared" si="1"/>
        <v>14.3559076079901</v>
      </c>
      <c r="W5" s="200">
        <f t="shared" si="2"/>
        <v>10.203217056464167</v>
      </c>
      <c r="X5" s="200">
        <f t="shared" si="3"/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451.9194779649106</v>
      </c>
      <c r="G6" s="4">
        <v>15</v>
      </c>
      <c r="H6" s="13">
        <v>14.756391583683156</v>
      </c>
      <c r="I6" s="5">
        <v>348.5243466030906</v>
      </c>
      <c r="J6" s="6">
        <v>10</v>
      </c>
      <c r="K6" s="14">
        <v>11.805113266946526</v>
      </c>
      <c r="L6" s="7">
        <v>224.6652405370857</v>
      </c>
      <c r="M6" s="8">
        <v>10</v>
      </c>
      <c r="O6" s="196">
        <v>3</v>
      </c>
      <c r="P6" s="10">
        <v>21.981602599249506</v>
      </c>
      <c r="Q6" s="11">
        <v>10.883996419310979</v>
      </c>
      <c r="R6" s="13">
        <v>8.648397942131531</v>
      </c>
      <c r="S6" s="14">
        <v>5.863657707437337</v>
      </c>
      <c r="T6" s="200">
        <f t="shared" si="4"/>
        <v>2.717567510807211</v>
      </c>
      <c r="U6" s="200">
        <f t="shared" si="0"/>
        <v>22.066648187754552</v>
      </c>
      <c r="V6" s="200">
        <f t="shared" si="1"/>
        <v>20.762215782567093</v>
      </c>
      <c r="W6" s="200">
        <f t="shared" si="2"/>
        <v>14.756391583683156</v>
      </c>
      <c r="X6" s="200">
        <f t="shared" si="3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437.75227522637095</v>
      </c>
      <c r="G7" s="4">
        <v>15</v>
      </c>
      <c r="H7" s="13">
        <v>19.172309079433024</v>
      </c>
      <c r="I7" s="5">
        <v>334.78070053847784</v>
      </c>
      <c r="J7" s="6">
        <v>15</v>
      </c>
      <c r="K7" s="14">
        <v>15.33784726354642</v>
      </c>
      <c r="L7" s="7">
        <v>214.2161213919138</v>
      </c>
      <c r="M7" s="8">
        <v>10</v>
      </c>
      <c r="O7" s="196">
        <v>4</v>
      </c>
      <c r="P7" s="10">
        <v>26.979045657097046</v>
      </c>
      <c r="Q7" s="11">
        <v>12.98714614601537</v>
      </c>
      <c r="R7" s="13">
        <v>10.243291910891486</v>
      </c>
      <c r="S7" s="14">
        <v>6.899708410394496</v>
      </c>
      <c r="T7" s="200">
        <f t="shared" si="4"/>
        <v>3.5308119851626194</v>
      </c>
      <c r="U7" s="200">
        <f t="shared" si="0"/>
        <v>28.670193319520468</v>
      </c>
      <c r="V7" s="200">
        <f t="shared" si="1"/>
        <v>26.97540356664241</v>
      </c>
      <c r="W7" s="200">
        <f t="shared" si="2"/>
        <v>19.172309079433024</v>
      </c>
      <c r="X7" s="200">
        <f t="shared" si="3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432.09300227809115</v>
      </c>
      <c r="G8" s="4">
        <v>15</v>
      </c>
      <c r="H8" s="13">
        <v>23.488892134136496</v>
      </c>
      <c r="I8" s="5">
        <v>329.29440060645834</v>
      </c>
      <c r="J8" s="6">
        <v>15</v>
      </c>
      <c r="K8" s="14">
        <v>18.791113707309197</v>
      </c>
      <c r="L8" s="7">
        <v>210.04750041431737</v>
      </c>
      <c r="M8" s="8">
        <v>10</v>
      </c>
      <c r="O8" s="15">
        <v>5</v>
      </c>
      <c r="P8" s="10">
        <v>31.350599840434633</v>
      </c>
      <c r="Q8" s="11">
        <v>14.918724908901225</v>
      </c>
      <c r="R8" s="13">
        <v>11.730269793061273</v>
      </c>
      <c r="S8" s="14">
        <v>7.879467307621216</v>
      </c>
      <c r="T8" s="200">
        <f t="shared" si="4"/>
        <v>4.325762823966206</v>
      </c>
      <c r="U8" s="200">
        <f t="shared" si="0"/>
        <v>35.125194130605585</v>
      </c>
      <c r="V8" s="200">
        <f t="shared" si="1"/>
        <v>33.04882797510181</v>
      </c>
      <c r="W8" s="200">
        <f t="shared" si="2"/>
        <v>23.488892134136496</v>
      </c>
      <c r="X8" s="200">
        <f t="shared" si="3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50</v>
      </c>
      <c r="E9" s="11">
        <v>39.013148103623955</v>
      </c>
      <c r="F9" s="12">
        <v>428.54055914818355</v>
      </c>
      <c r="G9" s="4">
        <v>25</v>
      </c>
      <c r="H9" s="13">
        <v>27.727931178361004</v>
      </c>
      <c r="I9" s="5">
        <v>325.8516796677218</v>
      </c>
      <c r="J9" s="6">
        <v>15</v>
      </c>
      <c r="K9" s="14">
        <v>22.182344942688804</v>
      </c>
      <c r="L9" s="7">
        <v>207.4324148363404</v>
      </c>
      <c r="M9" s="8">
        <v>10</v>
      </c>
      <c r="O9" s="15">
        <v>6</v>
      </c>
      <c r="P9" s="10">
        <v>35.29094141446951</v>
      </c>
      <c r="Q9" s="11">
        <v>16.67155476659931</v>
      </c>
      <c r="R9" s="13">
        <v>13.082354455648787</v>
      </c>
      <c r="S9" s="14">
        <v>8.77200873041464</v>
      </c>
      <c r="T9" s="200">
        <f t="shared" si="4"/>
        <v>5.106432997856539</v>
      </c>
      <c r="U9" s="200">
        <f t="shared" si="0"/>
        <v>41.46423594259509</v>
      </c>
      <c r="V9" s="200">
        <f t="shared" si="1"/>
        <v>39.013148103623955</v>
      </c>
      <c r="W9" s="200">
        <f t="shared" si="2"/>
        <v>27.727931178361004</v>
      </c>
      <c r="X9" s="200">
        <f t="shared" si="3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431.60847944491223</v>
      </c>
      <c r="G10" s="4">
        <v>25</v>
      </c>
      <c r="H10" s="13">
        <v>31.903552575275988</v>
      </c>
      <c r="I10" s="5">
        <v>328.82479048499954</v>
      </c>
      <c r="J10" s="6">
        <v>15</v>
      </c>
      <c r="K10" s="14">
        <v>25.522842060220796</v>
      </c>
      <c r="L10" s="7">
        <v>209.69074962491666</v>
      </c>
      <c r="M10" s="8">
        <v>10</v>
      </c>
      <c r="O10" s="15">
        <v>7</v>
      </c>
      <c r="P10" s="10">
        <v>38.933214735356096</v>
      </c>
      <c r="Q10" s="11">
        <v>18.508656141604266</v>
      </c>
      <c r="R10" s="13">
        <v>14.549025119204007</v>
      </c>
      <c r="S10" s="14">
        <v>9.770525467002773</v>
      </c>
      <c r="T10" s="200">
        <f t="shared" si="4"/>
        <v>5.875424047012153</v>
      </c>
      <c r="U10" s="200">
        <f t="shared" si="0"/>
        <v>47.70844326173868</v>
      </c>
      <c r="V10" s="200">
        <f t="shared" si="1"/>
        <v>44.888239719172844</v>
      </c>
      <c r="W10" s="200">
        <f t="shared" si="2"/>
        <v>31.903552575275988</v>
      </c>
      <c r="X10" s="200">
        <f t="shared" si="3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75</v>
      </c>
      <c r="E11" s="11">
        <v>50.688010640178675</v>
      </c>
      <c r="F11" s="12">
        <v>434.41316568918546</v>
      </c>
      <c r="G11" s="4">
        <v>25</v>
      </c>
      <c r="H11" s="13">
        <v>36.02564107017935</v>
      </c>
      <c r="I11" s="5">
        <v>331.5433811665799</v>
      </c>
      <c r="J11" s="6">
        <v>25</v>
      </c>
      <c r="K11" s="14">
        <v>28.82051285614348</v>
      </c>
      <c r="L11" s="7">
        <v>211.75614770527145</v>
      </c>
      <c r="M11" s="8">
        <v>15</v>
      </c>
      <c r="O11" s="15">
        <v>8</v>
      </c>
      <c r="P11" s="10">
        <v>42.36735462209556</v>
      </c>
      <c r="Q11" s="11">
        <v>20.257016610348472</v>
      </c>
      <c r="R11" s="13">
        <v>15.948122704746146</v>
      </c>
      <c r="S11" s="14">
        <v>10.72497361314495</v>
      </c>
      <c r="T11" s="200">
        <f t="shared" si="4"/>
        <v>6.634556366515533</v>
      </c>
      <c r="U11" s="200">
        <f t="shared" si="0"/>
        <v>53.872597696106126</v>
      </c>
      <c r="V11" s="200">
        <f t="shared" si="1"/>
        <v>50.688010640178675</v>
      </c>
      <c r="W11" s="200">
        <f t="shared" si="2"/>
        <v>36.02564107017935</v>
      </c>
      <c r="X11" s="200">
        <f t="shared" si="3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75</v>
      </c>
      <c r="E12" s="11">
        <v>56.422723063073036</v>
      </c>
      <c r="F12" s="12">
        <v>436.9560340007593</v>
      </c>
      <c r="G12" s="4">
        <v>25</v>
      </c>
      <c r="H12" s="13">
        <v>40.10149034456631</v>
      </c>
      <c r="I12" s="5">
        <v>334.0086625741117</v>
      </c>
      <c r="J12" s="6">
        <v>25</v>
      </c>
      <c r="K12" s="14">
        <v>32.08119227565305</v>
      </c>
      <c r="L12" s="7">
        <v>213.62941831100187</v>
      </c>
      <c r="M12" s="8">
        <v>15</v>
      </c>
      <c r="O12" s="15">
        <v>9</v>
      </c>
      <c r="P12" s="10">
        <v>45.654097706133584</v>
      </c>
      <c r="Q12" s="11">
        <v>21.94154296948351</v>
      </c>
      <c r="R12" s="13">
        <v>17.298376901495427</v>
      </c>
      <c r="S12" s="14">
        <v>11.647421717409191</v>
      </c>
      <c r="T12" s="200">
        <f t="shared" si="4"/>
        <v>7.3851731757949</v>
      </c>
      <c r="U12" s="200">
        <f t="shared" si="0"/>
        <v>59.967606187454585</v>
      </c>
      <c r="V12" s="200">
        <f t="shared" si="1"/>
        <v>56.422723063073036</v>
      </c>
      <c r="W12" s="200">
        <f t="shared" si="2"/>
        <v>40.10149034456631</v>
      </c>
      <c r="X12" s="200">
        <f t="shared" si="3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75</v>
      </c>
      <c r="E13" s="11">
        <v>62.100251434937185</v>
      </c>
      <c r="F13" s="12">
        <v>439.25123158993676</v>
      </c>
      <c r="G13" s="4">
        <v>25</v>
      </c>
      <c r="H13" s="13">
        <v>44.13669702771059</v>
      </c>
      <c r="I13" s="5">
        <v>336.23421052663923</v>
      </c>
      <c r="J13" s="6">
        <v>25</v>
      </c>
      <c r="K13" s="14">
        <v>35.30935762216848</v>
      </c>
      <c r="L13" s="7">
        <v>215.3207819438562</v>
      </c>
      <c r="M13" s="8">
        <v>15</v>
      </c>
      <c r="O13" s="15">
        <v>10</v>
      </c>
      <c r="P13" s="10">
        <v>48.83477434909161</v>
      </c>
      <c r="Q13" s="11">
        <v>23.579260449803265</v>
      </c>
      <c r="R13" s="13">
        <v>18.61260951180666</v>
      </c>
      <c r="S13" s="14">
        <v>12.546143470137753</v>
      </c>
      <c r="T13" s="200">
        <f t="shared" si="4"/>
        <v>8.128305161640993</v>
      </c>
      <c r="U13" s="200">
        <f t="shared" si="0"/>
        <v>66.00183791252486</v>
      </c>
      <c r="V13" s="200">
        <f t="shared" si="1"/>
        <v>62.100251434937185</v>
      </c>
      <c r="W13" s="200">
        <f t="shared" si="2"/>
        <v>44.13669702771059</v>
      </c>
      <c r="X13" s="200">
        <f t="shared" si="3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441.3184921175354</v>
      </c>
      <c r="G14" s="4">
        <v>37.5</v>
      </c>
      <c r="H14" s="13">
        <v>48.13568684140687</v>
      </c>
      <c r="I14" s="5">
        <v>338.2390439524687</v>
      </c>
      <c r="J14" s="6">
        <v>25</v>
      </c>
      <c r="K14" s="14">
        <v>38.508549473125505</v>
      </c>
      <c r="L14" s="7">
        <v>216.8446138148702</v>
      </c>
      <c r="M14" s="8">
        <v>15</v>
      </c>
      <c r="O14" s="15">
        <v>11</v>
      </c>
      <c r="P14" s="10">
        <v>51.93785212581211</v>
      </c>
      <c r="Q14" s="11">
        <v>25.18196504347711</v>
      </c>
      <c r="R14" s="13">
        <v>19.899721285490095</v>
      </c>
      <c r="S14" s="14">
        <v>13.426893100470632</v>
      </c>
      <c r="T14" s="200">
        <f t="shared" si="4"/>
        <v>8.86476737410808</v>
      </c>
      <c r="U14" s="200">
        <f t="shared" si="0"/>
        <v>71.9819110777576</v>
      </c>
      <c r="V14" s="200">
        <f t="shared" si="1"/>
        <v>67.72682273818573</v>
      </c>
      <c r="W14" s="200">
        <f t="shared" si="2"/>
        <v>48.13568684140687</v>
      </c>
      <c r="X14" s="200">
        <f t="shared" si="3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100</v>
      </c>
      <c r="E15" s="11">
        <v>73.30748032362037</v>
      </c>
      <c r="F15" s="12">
        <v>443.17925532273966</v>
      </c>
      <c r="G15" s="4">
        <v>37.5</v>
      </c>
      <c r="H15" s="13">
        <v>52.10204426142128</v>
      </c>
      <c r="I15" s="5">
        <v>340.0438611111055</v>
      </c>
      <c r="J15" s="6">
        <v>25</v>
      </c>
      <c r="K15" s="14">
        <v>41.68163540913703</v>
      </c>
      <c r="L15" s="7">
        <v>218.21658254045107</v>
      </c>
      <c r="M15" s="8">
        <v>15</v>
      </c>
      <c r="O15" s="15">
        <v>12</v>
      </c>
      <c r="P15" s="10">
        <v>54.983224664121934</v>
      </c>
      <c r="Q15" s="11">
        <v>26.75795977512048</v>
      </c>
      <c r="R15" s="13">
        <v>21.165992002319275</v>
      </c>
      <c r="S15" s="14">
        <v>14.29373958902373</v>
      </c>
      <c r="T15" s="200">
        <f t="shared" si="4"/>
        <v>9.595219937646645</v>
      </c>
      <c r="U15" s="200">
        <f t="shared" si="0"/>
        <v>77.91318589369075</v>
      </c>
      <c r="V15" s="200">
        <f t="shared" si="1"/>
        <v>73.30748032362037</v>
      </c>
      <c r="W15" s="200">
        <f t="shared" si="2"/>
        <v>52.10204426142128</v>
      </c>
      <c r="X15" s="200">
        <f t="shared" si="3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100</v>
      </c>
      <c r="E16" s="11">
        <v>78.84638915161207</v>
      </c>
      <c r="F16" s="12">
        <v>444.8546298092994</v>
      </c>
      <c r="G16" s="4">
        <v>37.5</v>
      </c>
      <c r="H16" s="13">
        <v>56.03872946246774</v>
      </c>
      <c r="I16" s="5">
        <v>341.6690605227972</v>
      </c>
      <c r="J16" s="6">
        <v>25</v>
      </c>
      <c r="K16" s="14">
        <v>44.8309835699742</v>
      </c>
      <c r="L16" s="7">
        <v>219.45214351038007</v>
      </c>
      <c r="M16" s="8">
        <v>25</v>
      </c>
      <c r="O16" s="15">
        <v>13</v>
      </c>
      <c r="P16" s="10">
        <v>57.98501003746078</v>
      </c>
      <c r="Q16" s="11">
        <v>28.313187714646876</v>
      </c>
      <c r="R16" s="13">
        <v>22.415928879505884</v>
      </c>
      <c r="S16" s="14">
        <v>15.149611078187142</v>
      </c>
      <c r="T16" s="200">
        <f t="shared" si="4"/>
        <v>10.320208004137706</v>
      </c>
      <c r="U16" s="200">
        <f t="shared" si="0"/>
        <v>83.80008899359817</v>
      </c>
      <c r="V16" s="200">
        <f t="shared" si="1"/>
        <v>78.84638915161207</v>
      </c>
      <c r="W16" s="200">
        <f t="shared" si="2"/>
        <v>56.03872946246774</v>
      </c>
      <c r="X16" s="200">
        <f t="shared" si="3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100</v>
      </c>
      <c r="E17" s="11">
        <v>84.34704477666975</v>
      </c>
      <c r="F17" s="12">
        <v>446.3643941134472</v>
      </c>
      <c r="G17" s="4">
        <v>37.5</v>
      </c>
      <c r="H17" s="13">
        <v>59.948226850434125</v>
      </c>
      <c r="I17" s="5">
        <v>343.1337682183816</v>
      </c>
      <c r="J17" s="6">
        <v>25</v>
      </c>
      <c r="K17" s="14">
        <v>47.958581480347306</v>
      </c>
      <c r="L17" s="7">
        <v>220.56579676274478</v>
      </c>
      <c r="M17" s="8">
        <v>25</v>
      </c>
      <c r="O17" s="15">
        <v>14</v>
      </c>
      <c r="P17" s="10">
        <v>60.953384356132815</v>
      </c>
      <c r="Q17" s="11">
        <v>29.85197511332382</v>
      </c>
      <c r="R17" s="13">
        <v>23.65282322572867</v>
      </c>
      <c r="S17" s="14">
        <v>15.996652187662697</v>
      </c>
      <c r="T17" s="200">
        <f t="shared" si="4"/>
        <v>11.040189106893946</v>
      </c>
      <c r="U17" s="200">
        <f t="shared" si="0"/>
        <v>89.64633554797884</v>
      </c>
      <c r="V17" s="200">
        <f t="shared" si="1"/>
        <v>84.34704477666975</v>
      </c>
      <c r="W17" s="200">
        <f t="shared" si="2"/>
        <v>59.948226850434125</v>
      </c>
      <c r="X17" s="200">
        <f t="shared" si="3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100</v>
      </c>
      <c r="E18" s="11">
        <v>89.81242117539311</v>
      </c>
      <c r="F18" s="12">
        <v>447.7265749132685</v>
      </c>
      <c r="G18" s="4">
        <v>37.5</v>
      </c>
      <c r="H18" s="13">
        <v>63.832650128584376</v>
      </c>
      <c r="I18" s="5">
        <v>344.4554249892572</v>
      </c>
      <c r="J18" s="6">
        <v>25</v>
      </c>
      <c r="K18" s="14">
        <v>51.06612010286751</v>
      </c>
      <c r="L18" s="7">
        <v>221.57077072247543</v>
      </c>
      <c r="M18" s="8">
        <v>25</v>
      </c>
      <c r="O18" s="15">
        <v>15</v>
      </c>
      <c r="P18" s="10">
        <v>63.89579433640222</v>
      </c>
      <c r="Q18" s="11">
        <v>31.37752367791226</v>
      </c>
      <c r="R18" s="13">
        <v>24.879119393162387</v>
      </c>
      <c r="S18" s="14">
        <v>16.836460975875017</v>
      </c>
      <c r="T18" s="200">
        <f t="shared" si="4"/>
        <v>11.75555250986821</v>
      </c>
      <c r="U18" s="200">
        <f t="shared" si="0"/>
        <v>95.45508638012986</v>
      </c>
      <c r="V18" s="200">
        <f t="shared" si="1"/>
        <v>89.81242117539311</v>
      </c>
      <c r="W18" s="200">
        <f t="shared" si="2"/>
        <v>63.832650128584376</v>
      </c>
      <c r="X18" s="200">
        <f t="shared" si="3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125</v>
      </c>
      <c r="E19" s="11">
        <v>95.2450782176995</v>
      </c>
      <c r="F19" s="12">
        <v>448.95733831873844</v>
      </c>
      <c r="G19" s="4">
        <v>37.5</v>
      </c>
      <c r="H19" s="13">
        <v>67.69381868090423</v>
      </c>
      <c r="I19" s="5">
        <v>345.649677844905</v>
      </c>
      <c r="J19" s="6">
        <v>37.5</v>
      </c>
      <c r="K19" s="14">
        <v>54.15505494472339</v>
      </c>
      <c r="L19" s="7">
        <v>222.4789375714108</v>
      </c>
      <c r="M19" s="8">
        <v>25</v>
      </c>
      <c r="O19" s="15">
        <v>16</v>
      </c>
      <c r="P19" s="10">
        <v>66.81776886921803</v>
      </c>
      <c r="Q19" s="11">
        <v>32.89224079290844</v>
      </c>
      <c r="R19" s="13">
        <v>26.096662460614674</v>
      </c>
      <c r="S19" s="14">
        <v>17.670248133260017</v>
      </c>
      <c r="T19" s="200">
        <f t="shared" si="4"/>
        <v>12.466633274567998</v>
      </c>
      <c r="U19" s="200">
        <f t="shared" si="0"/>
        <v>101.22906218949214</v>
      </c>
      <c r="V19" s="200">
        <f t="shared" si="1"/>
        <v>95.2450782176995</v>
      </c>
      <c r="W19" s="200">
        <f t="shared" si="2"/>
        <v>67.69381868090423</v>
      </c>
      <c r="X19" s="200">
        <f t="shared" si="3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125</v>
      </c>
      <c r="E20" s="11">
        <v>100.6472416423957</v>
      </c>
      <c r="F20" s="12">
        <v>450.07104388988967</v>
      </c>
      <c r="G20" s="4">
        <v>37.5</v>
      </c>
      <c r="H20" s="13">
        <v>71.5333144133781</v>
      </c>
      <c r="I20" s="5">
        <v>346.730429898481</v>
      </c>
      <c r="J20" s="6">
        <v>37.5</v>
      </c>
      <c r="K20" s="14">
        <v>57.22665153070248</v>
      </c>
      <c r="L20" s="7">
        <v>223.30084946190627</v>
      </c>
      <c r="M20" s="8">
        <v>25</v>
      </c>
      <c r="O20" s="15">
        <v>17</v>
      </c>
      <c r="P20" s="10">
        <v>69.72346952371765</v>
      </c>
      <c r="Q20" s="11">
        <v>34.39796413693949</v>
      </c>
      <c r="R20" s="13">
        <v>27.306866861974996</v>
      </c>
      <c r="S20" s="14">
        <v>18.498945462265347</v>
      </c>
      <c r="T20" s="200">
        <f t="shared" si="4"/>
        <v>13.173722728062264</v>
      </c>
      <c r="U20" s="200">
        <f t="shared" si="0"/>
        <v>106.97062855186557</v>
      </c>
      <c r="V20" s="200">
        <f t="shared" si="1"/>
        <v>100.6472416423957</v>
      </c>
      <c r="W20" s="200">
        <f t="shared" si="2"/>
        <v>71.5333144133781</v>
      </c>
      <c r="X20" s="200">
        <f t="shared" si="3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125</v>
      </c>
      <c r="E21" s="11">
        <v>106.02086378071836</v>
      </c>
      <c r="F21" s="12">
        <v>451.08037662633006</v>
      </c>
      <c r="G21" s="4">
        <v>37.5</v>
      </c>
      <c r="H21" s="13">
        <v>75.35252491221213</v>
      </c>
      <c r="I21" s="5">
        <v>347.70996641527825</v>
      </c>
      <c r="J21" s="6">
        <v>37.5</v>
      </c>
      <c r="K21" s="14">
        <v>60.28201992976971</v>
      </c>
      <c r="L21" s="7">
        <v>224.0458329958791</v>
      </c>
      <c r="M21" s="8">
        <v>25</v>
      </c>
      <c r="O21" s="15">
        <v>18</v>
      </c>
      <c r="P21" s="10">
        <v>72.61606919952668</v>
      </c>
      <c r="Q21" s="11">
        <v>35.896116681733005</v>
      </c>
      <c r="R21" s="13">
        <v>28.510832875048138</v>
      </c>
      <c r="S21" s="14">
        <v>19.323280894076255</v>
      </c>
      <c r="T21" s="200">
        <f t="shared" si="4"/>
        <v>13.87707641108879</v>
      </c>
      <c r="U21" s="200">
        <f t="shared" si="0"/>
        <v>112.68186045804097</v>
      </c>
      <c r="V21" s="200">
        <f t="shared" si="1"/>
        <v>106.02086378071836</v>
      </c>
      <c r="W21" s="200">
        <f t="shared" si="2"/>
        <v>75.35252491221213</v>
      </c>
      <c r="X21" s="200">
        <f t="shared" si="3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451.99650992975984</v>
      </c>
      <c r="G22" s="4">
        <v>37.5</v>
      </c>
      <c r="H22" s="13">
        <v>79.15267679222396</v>
      </c>
      <c r="I22" s="5">
        <v>348.59911134919196</v>
      </c>
      <c r="J22" s="6">
        <v>37.5</v>
      </c>
      <c r="K22" s="14">
        <v>63.32214143377918</v>
      </c>
      <c r="L22" s="7">
        <v>224.72210718531687</v>
      </c>
      <c r="M22" s="8">
        <v>25</v>
      </c>
      <c r="O22" s="15">
        <v>19</v>
      </c>
      <c r="P22" s="10">
        <v>75.49801622774234</v>
      </c>
      <c r="Q22" s="11">
        <v>37.387815201000755</v>
      </c>
      <c r="R22" s="13">
        <v>29.70942827053316</v>
      </c>
      <c r="S22" s="14">
        <v>20.14383113162765</v>
      </c>
      <c r="T22" s="200">
        <f t="shared" si="4"/>
        <v>14.576920219562425</v>
      </c>
      <c r="U22" s="200">
        <f t="shared" si="0"/>
        <v>118.36459218284688</v>
      </c>
      <c r="V22" s="200">
        <f t="shared" si="1"/>
        <v>111.36767047745693</v>
      </c>
      <c r="W22" s="200">
        <f t="shared" si="2"/>
        <v>79.15267679222396</v>
      </c>
      <c r="X22" s="200">
        <f t="shared" si="3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452.8292741959708</v>
      </c>
      <c r="G23" s="4">
        <v>50</v>
      </c>
      <c r="H23" s="13">
        <v>82.93486186540112</v>
      </c>
      <c r="I23" s="5">
        <v>349.4073896955413</v>
      </c>
      <c r="J23" s="6">
        <v>37.5</v>
      </c>
      <c r="K23" s="14">
        <v>66.3478894923209</v>
      </c>
      <c r="L23" s="7">
        <v>225.3369060770473</v>
      </c>
      <c r="M23" s="8">
        <v>25</v>
      </c>
      <c r="O23" s="15">
        <v>20</v>
      </c>
      <c r="P23" s="10">
        <v>78.37122110173472</v>
      </c>
      <c r="Q23" s="11">
        <v>38.873947310457126</v>
      </c>
      <c r="R23" s="13">
        <v>30.903346360928822</v>
      </c>
      <c r="S23" s="14">
        <v>20.96105912612814</v>
      </c>
      <c r="T23" s="200">
        <f t="shared" si="4"/>
        <v>15.273455223830776</v>
      </c>
      <c r="U23" s="200">
        <f t="shared" si="0"/>
        <v>124.0204564175059</v>
      </c>
      <c r="V23" s="200">
        <f t="shared" si="1"/>
        <v>116.68919791006712</v>
      </c>
      <c r="W23" s="200">
        <f t="shared" si="2"/>
        <v>82.93486186540112</v>
      </c>
      <c r="X23" s="200">
        <f t="shared" si="3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453.58731803490986</v>
      </c>
      <c r="G24" s="4">
        <v>50</v>
      </c>
      <c r="H24" s="13">
        <v>86.70005795789976</v>
      </c>
      <c r="I24" s="5">
        <v>350.14318297124</v>
      </c>
      <c r="J24" s="6">
        <v>37.5</v>
      </c>
      <c r="K24" s="14">
        <v>69.3600463663198</v>
      </c>
      <c r="L24" s="7">
        <v>225.89659634185261</v>
      </c>
      <c r="M24" s="8">
        <v>25</v>
      </c>
      <c r="O24" s="15">
        <v>21</v>
      </c>
      <c r="P24" s="10">
        <v>81.23719024998225</v>
      </c>
      <c r="Q24" s="11">
        <v>40.355226914028705</v>
      </c>
      <c r="R24" s="13">
        <v>32.093147841623036</v>
      </c>
      <c r="S24" s="14">
        <v>21.77534112917792</v>
      </c>
      <c r="T24" s="200">
        <f t="shared" si="4"/>
        <v>15.966861502375647</v>
      </c>
      <c r="U24" s="200">
        <f t="shared" si="0"/>
        <v>129.65091539929023</v>
      </c>
      <c r="V24" s="200">
        <f t="shared" si="1"/>
        <v>121.98682187814994</v>
      </c>
      <c r="W24" s="200">
        <f t="shared" si="2"/>
        <v>86.70005795789976</v>
      </c>
      <c r="X24" s="200">
        <f t="shared" si="3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454.2782560764077</v>
      </c>
      <c r="G25" s="4">
        <v>50</v>
      </c>
      <c r="H25" s="13">
        <v>90.44914567308666</v>
      </c>
      <c r="I25" s="5">
        <v>350.81387189746187</v>
      </c>
      <c r="J25" s="6">
        <v>37.5</v>
      </c>
      <c r="K25" s="14">
        <v>72.35931653846934</v>
      </c>
      <c r="L25" s="7">
        <v>226.40678528009568</v>
      </c>
      <c r="M25" s="8">
        <v>25</v>
      </c>
      <c r="O25" s="15">
        <v>22</v>
      </c>
      <c r="P25" s="10">
        <v>84.0971230811884</v>
      </c>
      <c r="Q25" s="11">
        <v>41.83223463176044</v>
      </c>
      <c r="R25" s="13">
        <v>33.279291349003785</v>
      </c>
      <c r="S25" s="14">
        <v>22.58698648134041</v>
      </c>
      <c r="T25" s="200">
        <f t="shared" si="4"/>
        <v>16.657301228929406</v>
      </c>
      <c r="U25" s="200">
        <f t="shared" si="0"/>
        <v>135.25728597890676</v>
      </c>
      <c r="V25" s="200">
        <f t="shared" si="1"/>
        <v>127.26178138902065</v>
      </c>
      <c r="W25" s="200">
        <f t="shared" si="2"/>
        <v>90.44914567308666</v>
      </c>
      <c r="X25" s="200">
        <f t="shared" si="3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454.90880117046646</v>
      </c>
      <c r="G26" s="4">
        <v>50</v>
      </c>
      <c r="H26" s="13">
        <v>94.18292203878188</v>
      </c>
      <c r="I26" s="5">
        <v>351.4259641090061</v>
      </c>
      <c r="J26" s="6">
        <v>37.5</v>
      </c>
      <c r="K26" s="14">
        <v>75.3463376310255</v>
      </c>
      <c r="L26" s="7">
        <v>226.872417555373</v>
      </c>
      <c r="M26" s="8">
        <v>25</v>
      </c>
      <c r="O26" s="15">
        <v>23</v>
      </c>
      <c r="P26" s="10">
        <v>86.95198323054848</v>
      </c>
      <c r="Q26" s="11">
        <v>43.30544764511835</v>
      </c>
      <c r="R26" s="13">
        <v>34.46215605979127</v>
      </c>
      <c r="S26" s="14">
        <v>23.396252271969544</v>
      </c>
      <c r="T26" s="200">
        <f t="shared" si="4"/>
        <v>17.344921185779352</v>
      </c>
      <c r="U26" s="200">
        <f t="shared" si="0"/>
        <v>140.84076002852834</v>
      </c>
      <c r="V26" s="200">
        <f t="shared" si="1"/>
        <v>132.51519785935423</v>
      </c>
      <c r="W26" s="200">
        <f t="shared" si="2"/>
        <v>94.18292203878188</v>
      </c>
      <c r="X26" s="200">
        <f t="shared" si="3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455.48488085397366</v>
      </c>
      <c r="G27" s="4">
        <v>50</v>
      </c>
      <c r="H27" s="13">
        <v>97.90211172832133</v>
      </c>
      <c r="I27" s="5">
        <v>351.98520672703734</v>
      </c>
      <c r="J27" s="6">
        <v>37.5</v>
      </c>
      <c r="K27" s="14">
        <v>78.32168938265707</v>
      </c>
      <c r="L27" s="7">
        <v>227.29786050544033</v>
      </c>
      <c r="M27" s="8">
        <v>25</v>
      </c>
      <c r="O27" s="15">
        <v>24</v>
      </c>
      <c r="P27" s="10">
        <v>89.80255145998397</v>
      </c>
      <c r="Q27" s="11">
        <v>44.77526199075525</v>
      </c>
      <c r="R27" s="13">
        <v>35.64205860468259</v>
      </c>
      <c r="S27" s="14">
        <v>24.203354331049717</v>
      </c>
      <c r="T27" s="200">
        <f t="shared" si="4"/>
        <v>18.029854830261755</v>
      </c>
      <c r="U27" s="200">
        <f t="shared" si="0"/>
        <v>146.40242122172543</v>
      </c>
      <c r="V27" s="200">
        <f t="shared" si="1"/>
        <v>137.7480909031998</v>
      </c>
      <c r="W27" s="200">
        <f t="shared" si="2"/>
        <v>97.90211172832133</v>
      </c>
      <c r="X27" s="200">
        <f t="shared" si="3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456.0117389966826</v>
      </c>
      <c r="G28" s="4">
        <v>50</v>
      </c>
      <c r="H28" s="13">
        <v>101.60737636999986</v>
      </c>
      <c r="I28" s="5">
        <v>352.4966846507063</v>
      </c>
      <c r="J28" s="6">
        <v>37.5</v>
      </c>
      <c r="K28" s="14">
        <v>81.2859010959999</v>
      </c>
      <c r="L28" s="7">
        <v>227.6869786604846</v>
      </c>
      <c r="M28" s="8">
        <v>37.5</v>
      </c>
      <c r="O28" s="15">
        <v>25</v>
      </c>
      <c r="P28" s="10">
        <v>92.64946535798681</v>
      </c>
      <c r="Q28" s="11">
        <v>46.242009400250176</v>
      </c>
      <c r="R28" s="13">
        <v>36.81926587049148</v>
      </c>
      <c r="S28" s="14">
        <v>25.0084755654167</v>
      </c>
      <c r="T28" s="200">
        <f t="shared" si="4"/>
        <v>18.71222400920808</v>
      </c>
      <c r="U28" s="200">
        <f t="shared" si="0"/>
        <v>151.9432589547696</v>
      </c>
      <c r="V28" s="200">
        <f t="shared" si="1"/>
        <v>142.96139143034972</v>
      </c>
      <c r="W28" s="200">
        <f t="shared" si="2"/>
        <v>101.60737636999986</v>
      </c>
      <c r="X28" s="200">
        <f t="shared" si="3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456.494024003366</v>
      </c>
      <c r="G29" s="4">
        <v>50</v>
      </c>
      <c r="H29" s="13">
        <v>105.29932233407585</v>
      </c>
      <c r="I29" s="5">
        <v>352.96490588052114</v>
      </c>
      <c r="J29" s="6">
        <v>50</v>
      </c>
      <c r="K29" s="14">
        <v>84.2394578672607</v>
      </c>
      <c r="L29" s="7">
        <v>228.04319845136808</v>
      </c>
      <c r="M29" s="8">
        <v>37.5</v>
      </c>
      <c r="O29" s="15">
        <v>26</v>
      </c>
      <c r="P29" s="10">
        <v>95.49324943458714</v>
      </c>
      <c r="Q29" s="11">
        <v>47.70597015513565</v>
      </c>
      <c r="R29" s="13">
        <v>37.994004794422196</v>
      </c>
      <c r="S29" s="14">
        <v>25.811772349695318</v>
      </c>
      <c r="T29" s="200">
        <f t="shared" si="4"/>
        <v>19.39214039301581</v>
      </c>
      <c r="U29" s="200">
        <f t="shared" si="0"/>
        <v>157.46417999128838</v>
      </c>
      <c r="V29" s="200">
        <f t="shared" si="1"/>
        <v>148.15595260264078</v>
      </c>
      <c r="W29" s="200">
        <f t="shared" si="2"/>
        <v>105.29932233407585</v>
      </c>
      <c r="X29" s="200">
        <f t="shared" si="3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456.93586509472806</v>
      </c>
      <c r="G30" s="4">
        <v>50</v>
      </c>
      <c r="H30" s="13">
        <v>108.97850729534242</v>
      </c>
      <c r="I30" s="5">
        <v>353.3938753330878</v>
      </c>
      <c r="J30" s="6">
        <v>50</v>
      </c>
      <c r="K30" s="14">
        <v>87.18280583627394</v>
      </c>
      <c r="L30" s="7">
        <v>228.36956420580597</v>
      </c>
      <c r="M30" s="8">
        <v>37.5</v>
      </c>
      <c r="O30" s="15">
        <v>27</v>
      </c>
      <c r="P30" s="10">
        <v>98.33433815292265</v>
      </c>
      <c r="Q30" s="11">
        <v>49.16738299863764</v>
      </c>
      <c r="R30" s="13">
        <v>39.166469933426086</v>
      </c>
      <c r="S30" s="14">
        <v>26.613379476328387</v>
      </c>
      <c r="T30" s="200">
        <f t="shared" si="4"/>
        <v>20.069706684225125</v>
      </c>
      <c r="U30" s="200">
        <f t="shared" si="0"/>
        <v>162.966018275908</v>
      </c>
      <c r="V30" s="200">
        <f t="shared" si="1"/>
        <v>153.33255906747993</v>
      </c>
      <c r="W30" s="200">
        <f t="shared" si="2"/>
        <v>108.97850729534242</v>
      </c>
      <c r="X30" s="200">
        <f t="shared" si="3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457.3409381662357</v>
      </c>
      <c r="G31" s="4">
        <v>75</v>
      </c>
      <c r="H31" s="13">
        <v>112.64544580205019</v>
      </c>
      <c r="I31" s="5">
        <v>353.7871585883404</v>
      </c>
      <c r="J31" s="6">
        <v>50</v>
      </c>
      <c r="K31" s="14">
        <v>90.11635664164017</v>
      </c>
      <c r="L31" s="7">
        <v>228.66878651921084</v>
      </c>
      <c r="M31" s="8">
        <v>37.5</v>
      </c>
      <c r="O31" s="15">
        <v>28</v>
      </c>
      <c r="P31" s="10">
        <v>101.17309371376004</v>
      </c>
      <c r="Q31" s="11">
        <v>50.62645285062571</v>
      </c>
      <c r="R31" s="13">
        <v>40.336829370409674</v>
      </c>
      <c r="S31" s="14">
        <v>27.413414026931658</v>
      </c>
      <c r="T31" s="200">
        <f t="shared" si="4"/>
        <v>20.745017643103168</v>
      </c>
      <c r="U31" s="200">
        <f t="shared" si="0"/>
        <v>168.44954326199772</v>
      </c>
      <c r="V31" s="200">
        <f t="shared" si="1"/>
        <v>158.4919347933082</v>
      </c>
      <c r="W31" s="200">
        <f t="shared" si="2"/>
        <v>112.64544580205019</v>
      </c>
      <c r="X31" s="200">
        <f t="shared" si="3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457.71252261721145</v>
      </c>
      <c r="G32" s="4">
        <v>75</v>
      </c>
      <c r="H32" s="13">
        <v>116.30061403176798</v>
      </c>
      <c r="I32" s="5">
        <v>354.14793690991684</v>
      </c>
      <c r="J32" s="6">
        <v>50</v>
      </c>
      <c r="K32" s="14">
        <v>93.04049122541439</v>
      </c>
      <c r="L32" s="7">
        <v>228.94328401270553</v>
      </c>
      <c r="M32" s="8">
        <v>37.5</v>
      </c>
      <c r="O32" s="15">
        <v>29</v>
      </c>
      <c r="P32" s="10">
        <v>104.00981990482833</v>
      </c>
      <c r="Q32" s="11">
        <v>52.08335686665484</v>
      </c>
      <c r="R32" s="13">
        <v>41.50522936475551</v>
      </c>
      <c r="S32" s="14">
        <v>28.211978427977925</v>
      </c>
      <c r="T32" s="200">
        <f t="shared" si="4"/>
        <v>21.418160963493182</v>
      </c>
      <c r="U32" s="200">
        <f t="shared" si="0"/>
        <v>173.91546702356462</v>
      </c>
      <c r="V32" s="200">
        <f t="shared" si="1"/>
        <v>163.6347497610879</v>
      </c>
      <c r="W32" s="200">
        <f t="shared" si="2"/>
        <v>116.30061403176798</v>
      </c>
      <c r="X32" s="200">
        <f t="shared" si="3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458.0535504005907</v>
      </c>
      <c r="G33" s="4">
        <v>75</v>
      </c>
      <c r="H33" s="13">
        <v>119.94445387684752</v>
      </c>
      <c r="I33" s="5">
        <v>354.47905474405326</v>
      </c>
      <c r="J33" s="6">
        <v>50</v>
      </c>
      <c r="K33" s="14">
        <v>95.95556310147802</v>
      </c>
      <c r="L33" s="7">
        <v>229.19521938958871</v>
      </c>
      <c r="M33" s="8">
        <v>37.5</v>
      </c>
      <c r="O33" s="15">
        <v>30</v>
      </c>
      <c r="P33" s="10">
        <v>106.84477297200314</v>
      </c>
      <c r="Q33" s="11">
        <v>53.53824923703989</v>
      </c>
      <c r="R33" s="13">
        <v>42.67179804576282</v>
      </c>
      <c r="S33" s="14">
        <v>29.00916288376061</v>
      </c>
      <c r="T33" s="200">
        <f t="shared" si="4"/>
        <v>22.089218025202122</v>
      </c>
      <c r="U33" s="200">
        <f t="shared" si="0"/>
        <v>179.36445036464121</v>
      </c>
      <c r="V33" s="200">
        <f t="shared" si="1"/>
        <v>168.7616257125442</v>
      </c>
      <c r="W33" s="200">
        <f t="shared" si="2"/>
        <v>119.94445387684752</v>
      </c>
      <c r="X33" s="200">
        <f t="shared" si="3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458.366648393313</v>
      </c>
      <c r="G34" s="4">
        <v>75</v>
      </c>
      <c r="H34" s="13">
        <v>123.57737647319985</v>
      </c>
      <c r="I34" s="5">
        <v>354.78306075824827</v>
      </c>
      <c r="J34" s="6">
        <v>50</v>
      </c>
      <c r="K34" s="14">
        <v>98.86190117855989</v>
      </c>
      <c r="L34" s="7">
        <v>229.42653059318698</v>
      </c>
      <c r="M34" s="8">
        <v>37.5</v>
      </c>
      <c r="O34" s="15">
        <v>31</v>
      </c>
      <c r="P34" s="10">
        <v>109.6781702172226</v>
      </c>
      <c r="Q34" s="11">
        <v>54.99126501865065</v>
      </c>
      <c r="R34" s="13">
        <v>43.836648370007275</v>
      </c>
      <c r="S34" s="14">
        <v>29.80504732960358</v>
      </c>
      <c r="T34" s="200">
        <f t="shared" si="4"/>
        <v>22.758264543867377</v>
      </c>
      <c r="U34" s="200">
        <f t="shared" si="0"/>
        <v>184.7971080962031</v>
      </c>
      <c r="V34" s="200">
        <f t="shared" si="1"/>
        <v>173.87314111514675</v>
      </c>
      <c r="W34" s="200">
        <f t="shared" si="2"/>
        <v>123.57737647319985</v>
      </c>
      <c r="X34" s="200">
        <f t="shared" si="3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458.6541750422605</v>
      </c>
      <c r="G35" s="4">
        <v>75</v>
      </c>
      <c r="H35" s="13">
        <v>127.19976526375594</v>
      </c>
      <c r="I35" s="5">
        <v>355.0622433416148</v>
      </c>
      <c r="J35" s="6">
        <v>50</v>
      </c>
      <c r="K35" s="14">
        <v>101.75981221100476</v>
      </c>
      <c r="L35" s="7">
        <v>229.6389577640276</v>
      </c>
      <c r="M35" s="8">
        <v>37.5</v>
      </c>
      <c r="O35" s="15">
        <v>32</v>
      </c>
      <c r="P35" s="10">
        <v>112.51019684703435</v>
      </c>
      <c r="Q35" s="11">
        <v>56.442523217814106</v>
      </c>
      <c r="R35" s="13">
        <v>44.999880507724455</v>
      </c>
      <c r="S35" s="14">
        <v>30.59970301225517</v>
      </c>
      <c r="T35" s="200">
        <f t="shared" si="4"/>
        <v>23.425371135130007</v>
      </c>
      <c r="U35" s="200">
        <f t="shared" si="0"/>
        <v>190.21401361725563</v>
      </c>
      <c r="V35" s="200">
        <f t="shared" si="1"/>
        <v>178.96983547239324</v>
      </c>
      <c r="W35" s="200">
        <f t="shared" si="2"/>
        <v>127.19976526375594</v>
      </c>
      <c r="X35" s="200">
        <f t="shared" si="3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458.91825210771765</v>
      </c>
      <c r="G36" s="4">
        <v>75</v>
      </c>
      <c r="H36" s="13">
        <v>130.8119786705975</v>
      </c>
      <c r="I36" s="5">
        <v>355.31866136089747</v>
      </c>
      <c r="J36" s="6">
        <v>50</v>
      </c>
      <c r="K36" s="14">
        <v>104.64958293647803</v>
      </c>
      <c r="L36" s="7">
        <v>229.83406659769145</v>
      </c>
      <c r="M36" s="8">
        <v>37.5</v>
      </c>
      <c r="O36" s="15">
        <v>33</v>
      </c>
      <c r="P36" s="10">
        <v>115.3410114645293</v>
      </c>
      <c r="Q36" s="11">
        <v>57.89212928872119</v>
      </c>
      <c r="R36" s="13">
        <v>46.16158378266958</v>
      </c>
      <c r="S36" s="14">
        <v>31.393193778177256</v>
      </c>
      <c r="T36" s="200">
        <f t="shared" si="4"/>
        <v>24.090603806739875</v>
      </c>
      <c r="U36" s="200">
        <f aca="true" t="shared" si="5" ref="U36:U67">+T36*$U$3</f>
        <v>195.61570291072778</v>
      </c>
      <c r="V36" s="200">
        <f aca="true" t="shared" si="6" ref="V36:V67">+T36*$V$3</f>
        <v>184.05221308349263</v>
      </c>
      <c r="W36" s="200">
        <f aca="true" t="shared" si="7" ref="W36:W67">+T36*$W$3</f>
        <v>130.8119786705975</v>
      </c>
      <c r="X36" s="200">
        <f aca="true" t="shared" si="8" ref="X36:X67">+T36*$X$3</f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459.1607922079971</v>
      </c>
      <c r="G37" s="4">
        <v>75</v>
      </c>
      <c r="H37" s="13">
        <v>134.41435243609462</v>
      </c>
      <c r="I37" s="5">
        <v>355.55417085215515</v>
      </c>
      <c r="J37" s="6">
        <v>50</v>
      </c>
      <c r="K37" s="14">
        <v>107.5314819488757</v>
      </c>
      <c r="L37" s="7">
        <v>230.01326861858982</v>
      </c>
      <c r="M37" s="8">
        <v>37.5</v>
      </c>
      <c r="O37" s="15">
        <v>34</v>
      </c>
      <c r="P37" s="10">
        <v>118.17075050152964</v>
      </c>
      <c r="Q37" s="11">
        <v>59.34017717214413</v>
      </c>
      <c r="R37" s="13">
        <v>47.32183826006718</v>
      </c>
      <c r="S37" s="14">
        <v>32.185577131171314</v>
      </c>
      <c r="T37" s="200">
        <f t="shared" si="4"/>
        <v>24.754024389704348</v>
      </c>
      <c r="U37" s="200">
        <f t="shared" si="5"/>
        <v>201.0026780443993</v>
      </c>
      <c r="V37" s="200">
        <f t="shared" si="6"/>
        <v>189.12074633734122</v>
      </c>
      <c r="W37" s="200">
        <f t="shared" si="7"/>
        <v>134.41435243609462</v>
      </c>
      <c r="X37" s="200">
        <f t="shared" si="8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459.3835227655834</v>
      </c>
      <c r="G38" s="4">
        <v>75</v>
      </c>
      <c r="H38" s="13">
        <v>138.00720168258013</v>
      </c>
      <c r="I38" s="5">
        <v>355.77044822849285</v>
      </c>
      <c r="J38" s="6">
        <v>50</v>
      </c>
      <c r="K38" s="14">
        <v>110.40576134606412</v>
      </c>
      <c r="L38" s="7">
        <v>230.1778388095714</v>
      </c>
      <c r="M38" s="8">
        <v>37.5</v>
      </c>
      <c r="O38" s="15">
        <v>35</v>
      </c>
      <c r="P38" s="10">
        <v>120.99953181718034</v>
      </c>
      <c r="Q38" s="11">
        <v>60.78675096997828</v>
      </c>
      <c r="R38" s="13">
        <v>48.480716055165004</v>
      </c>
      <c r="S38" s="14">
        <v>32.97690510649832</v>
      </c>
      <c r="T38" s="200">
        <f t="shared" si="4"/>
        <v>25.415690917602237</v>
      </c>
      <c r="U38" s="200">
        <f t="shared" si="5"/>
        <v>206.37541025093014</v>
      </c>
      <c r="V38" s="200">
        <f t="shared" si="6"/>
        <v>194.17587861048108</v>
      </c>
      <c r="W38" s="200">
        <f t="shared" si="7"/>
        <v>138.00720168258013</v>
      </c>
      <c r="X38" s="200">
        <f t="shared" si="8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459.5880068660352</v>
      </c>
      <c r="G39" s="4">
        <v>75</v>
      </c>
      <c r="H39" s="13">
        <v>141.59082273147774</v>
      </c>
      <c r="I39" s="5">
        <v>355.9690104982358</v>
      </c>
      <c r="J39" s="6">
        <v>50</v>
      </c>
      <c r="K39" s="14">
        <v>113.27265818518222</v>
      </c>
      <c r="L39" s="7">
        <v>230.32893097219863</v>
      </c>
      <c r="M39" s="8">
        <v>37.5</v>
      </c>
      <c r="O39" s="15">
        <v>36</v>
      </c>
      <c r="P39" s="10">
        <v>123.82745763650372</v>
      </c>
      <c r="Q39" s="11">
        <v>62.23192632927021</v>
      </c>
      <c r="R39" s="13">
        <v>49.63828241840169</v>
      </c>
      <c r="S39" s="14">
        <v>33.767224997969834</v>
      </c>
      <c r="T39" s="200">
        <f t="shared" si="4"/>
        <v>26.075657961598115</v>
      </c>
      <c r="U39" s="200">
        <f t="shared" si="5"/>
        <v>211.73434264817666</v>
      </c>
      <c r="V39" s="200">
        <f t="shared" si="6"/>
        <v>199.2180268266096</v>
      </c>
      <c r="W39" s="200">
        <f t="shared" si="7"/>
        <v>141.59082273147774</v>
      </c>
      <c r="X39" s="200">
        <f t="shared" si="8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459.7756614646252</v>
      </c>
      <c r="G40" s="4">
        <v>75</v>
      </c>
      <c r="H40" s="13">
        <v>145.1654947158765</v>
      </c>
      <c r="I40" s="5">
        <v>356.151232914331</v>
      </c>
      <c r="J40" s="6">
        <v>75</v>
      </c>
      <c r="K40" s="14">
        <v>116.1323957727012</v>
      </c>
      <c r="L40" s="7">
        <v>230.4675911368099</v>
      </c>
      <c r="M40" s="8">
        <v>37.5</v>
      </c>
      <c r="O40" s="15">
        <v>37</v>
      </c>
      <c r="P40" s="10">
        <v>126.65461696305972</v>
      </c>
      <c r="Q40" s="11">
        <v>63.6757715929553</v>
      </c>
      <c r="R40" s="13">
        <v>50.79459664076916</v>
      </c>
      <c r="S40" s="14">
        <v>34.556579966436395</v>
      </c>
      <c r="T40" s="200">
        <f t="shared" si="4"/>
        <v>26.7339769274174</v>
      </c>
      <c r="U40" s="200">
        <f t="shared" si="5"/>
        <v>217.0798926506293</v>
      </c>
      <c r="V40" s="200">
        <f t="shared" si="6"/>
        <v>204.24758372546893</v>
      </c>
      <c r="W40" s="200">
        <f t="shared" si="7"/>
        <v>145.1654947158765</v>
      </c>
      <c r="X40" s="200">
        <f t="shared" si="8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459.9477733108078</v>
      </c>
      <c r="G41" s="4">
        <v>75</v>
      </c>
      <c r="H41" s="13">
        <v>148.73148101495673</v>
      </c>
      <c r="I41" s="5">
        <v>356.3183644130493</v>
      </c>
      <c r="J41" s="6">
        <v>75</v>
      </c>
      <c r="K41" s="14">
        <v>118.9851848119654</v>
      </c>
      <c r="L41" s="7">
        <v>230.59476929397567</v>
      </c>
      <c r="M41" s="8">
        <v>37.5</v>
      </c>
      <c r="O41" s="15">
        <v>38</v>
      </c>
      <c r="P41" s="10">
        <v>129.48108757009382</v>
      </c>
      <c r="Q41" s="11">
        <v>65.11834876207259</v>
      </c>
      <c r="R41" s="13">
        <v>51.94971281352153</v>
      </c>
      <c r="S41" s="14">
        <v>35.34500955198463</v>
      </c>
      <c r="T41" s="200">
        <f t="shared" si="4"/>
        <v>27.39069631951321</v>
      </c>
      <c r="U41" s="200">
        <f t="shared" si="5"/>
        <v>222.41245411444726</v>
      </c>
      <c r="V41" s="200">
        <f t="shared" si="6"/>
        <v>209.2649198810809</v>
      </c>
      <c r="W41" s="200">
        <f t="shared" si="7"/>
        <v>148.73148101495673</v>
      </c>
      <c r="X41" s="200">
        <f t="shared" si="8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460.1055129055117</v>
      </c>
      <c r="G42" s="4">
        <v>75</v>
      </c>
      <c r="H42" s="13">
        <v>152.2890305341171</v>
      </c>
      <c r="I42" s="5">
        <v>356.4715411468649</v>
      </c>
      <c r="J42" s="6">
        <v>75</v>
      </c>
      <c r="K42" s="14">
        <v>121.83122442729369</v>
      </c>
      <c r="L42" s="7">
        <v>230.71132967866498</v>
      </c>
      <c r="M42" s="8">
        <v>37.5</v>
      </c>
      <c r="O42" s="15">
        <v>39</v>
      </c>
      <c r="P42" s="10">
        <v>132.30693765190983</v>
      </c>
      <c r="Q42" s="11">
        <v>66.55971430471057</v>
      </c>
      <c r="R42" s="13">
        <v>53.103680469170996</v>
      </c>
      <c r="S42" s="14">
        <v>36.13255010747232</v>
      </c>
      <c r="T42" s="200">
        <f t="shared" si="4"/>
        <v>28.045861976817147</v>
      </c>
      <c r="U42" s="200">
        <f t="shared" si="5"/>
        <v>227.7323992517552</v>
      </c>
      <c r="V42" s="200">
        <f t="shared" si="6"/>
        <v>214.270385502883</v>
      </c>
      <c r="W42" s="200">
        <f t="shared" si="7"/>
        <v>152.2890305341171</v>
      </c>
      <c r="X42" s="200">
        <f t="shared" si="8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460.249946759658</v>
      </c>
      <c r="G43" s="4">
        <v>75</v>
      </c>
      <c r="H43" s="13">
        <v>155.8383788509319</v>
      </c>
      <c r="I43" s="5">
        <v>356.6117983712952</v>
      </c>
      <c r="J43" s="6">
        <v>75</v>
      </c>
      <c r="K43" s="14">
        <v>124.67070308074553</v>
      </c>
      <c r="L43" s="7">
        <v>230.81805980424878</v>
      </c>
      <c r="M43" s="8">
        <v>37.5</v>
      </c>
      <c r="O43" s="15">
        <v>40</v>
      </c>
      <c r="P43" s="10">
        <v>135.13222719988366</v>
      </c>
      <c r="Q43" s="11">
        <v>67.99991983963021</v>
      </c>
      <c r="R43" s="13">
        <v>54.25654512516597</v>
      </c>
      <c r="S43" s="14">
        <v>36.91923516742572</v>
      </c>
      <c r="T43" s="200">
        <f t="shared" si="4"/>
        <v>28.699517283781198</v>
      </c>
      <c r="U43" s="200">
        <f t="shared" si="5"/>
        <v>233.0400803443033</v>
      </c>
      <c r="V43" s="200">
        <f t="shared" si="6"/>
        <v>219.26431204808833</v>
      </c>
      <c r="W43" s="200">
        <f t="shared" si="7"/>
        <v>155.8383788509319</v>
      </c>
      <c r="X43" s="200">
        <f t="shared" si="8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460.38204818281685</v>
      </c>
      <c r="G44" s="4">
        <v>75</v>
      </c>
      <c r="H44" s="13">
        <v>159.3797492440034</v>
      </c>
      <c r="I44" s="5">
        <v>356.7400809073531</v>
      </c>
      <c r="J44" s="6">
        <v>75</v>
      </c>
      <c r="K44" s="14">
        <v>127.50379939520273</v>
      </c>
      <c r="L44" s="7">
        <v>230.91567841457083</v>
      </c>
      <c r="M44" s="8">
        <v>50</v>
      </c>
      <c r="O44" s="15">
        <v>41</v>
      </c>
      <c r="P44" s="10">
        <v>137.95700915415534</v>
      </c>
      <c r="Q44" s="11">
        <v>69.4390127168441</v>
      </c>
      <c r="R44" s="13">
        <v>55.40834874733941</v>
      </c>
      <c r="S44" s="14">
        <v>37.70509576352001</v>
      </c>
      <c r="T44" s="200">
        <f t="shared" si="4"/>
        <v>29.351703359853296</v>
      </c>
      <c r="U44" s="200">
        <f t="shared" si="5"/>
        <v>238.33583128200874</v>
      </c>
      <c r="V44" s="200">
        <f t="shared" si="6"/>
        <v>224.24701366927917</v>
      </c>
      <c r="W44" s="200">
        <f t="shared" si="7"/>
        <v>159.3797492440034</v>
      </c>
      <c r="X44" s="200">
        <f t="shared" si="8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460.5027067975769</v>
      </c>
      <c r="G45" s="4">
        <v>75</v>
      </c>
      <c r="H45" s="13">
        <v>162.91335361924027</v>
      </c>
      <c r="I45" s="5">
        <v>356.8572523689806</v>
      </c>
      <c r="J45" s="6">
        <v>75</v>
      </c>
      <c r="K45" s="14">
        <v>130.33068289539224</v>
      </c>
      <c r="L45" s="7">
        <v>231.0048424978263</v>
      </c>
      <c r="M45" s="8">
        <v>50</v>
      </c>
      <c r="O45" s="15">
        <v>42</v>
      </c>
      <c r="P45" s="10">
        <v>140.78133037169155</v>
      </c>
      <c r="Q45" s="11">
        <v>70.87703651302803</v>
      </c>
      <c r="R45" s="13">
        <v>56.559130146865456</v>
      </c>
      <c r="S45" s="14">
        <v>38.49016069568012</v>
      </c>
      <c r="T45" s="200">
        <f t="shared" si="4"/>
        <v>30.002459230062666</v>
      </c>
      <c r="U45" s="200">
        <f t="shared" si="5"/>
        <v>243.61996894810883</v>
      </c>
      <c r="V45" s="200">
        <f t="shared" si="6"/>
        <v>229.21878851767875</v>
      </c>
      <c r="W45" s="200">
        <f t="shared" si="7"/>
        <v>162.91335361924027</v>
      </c>
      <c r="X45" s="200">
        <f t="shared" si="8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460.6127369469548</v>
      </c>
      <c r="G46" s="4">
        <v>75</v>
      </c>
      <c r="H46" s="13">
        <v>166.43939334598775</v>
      </c>
      <c r="I46" s="5">
        <v>356.9641033175254</v>
      </c>
      <c r="J46" s="6">
        <v>75</v>
      </c>
      <c r="K46" s="14">
        <v>133.1515146767902</v>
      </c>
      <c r="L46" s="7">
        <v>231.08615348528468</v>
      </c>
      <c r="M46" s="8">
        <v>50</v>
      </c>
      <c r="O46" s="15">
        <v>43</v>
      </c>
      <c r="P46" s="10">
        <v>143.6052324433064</v>
      </c>
      <c r="Q46" s="11">
        <v>72.31403145617773</v>
      </c>
      <c r="R46" s="13">
        <v>57.708925321822555</v>
      </c>
      <c r="S46" s="14">
        <v>39.27445676611615</v>
      </c>
      <c r="T46" s="200">
        <f t="shared" si="4"/>
        <v>30.65182197900327</v>
      </c>
      <c r="U46" s="200">
        <f t="shared" si="5"/>
        <v>248.89279446950653</v>
      </c>
      <c r="V46" s="200">
        <f t="shared" si="6"/>
        <v>234.17991991958496</v>
      </c>
      <c r="W46" s="200">
        <f t="shared" si="7"/>
        <v>166.43939334598775</v>
      </c>
      <c r="X46" s="200">
        <f t="shared" si="8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460.712885138264</v>
      </c>
      <c r="G47" s="4">
        <v>75</v>
      </c>
      <c r="H47" s="13">
        <v>169.95806001367396</v>
      </c>
      <c r="I47" s="5">
        <v>357.061358482175</v>
      </c>
      <c r="J47" s="6">
        <v>75</v>
      </c>
      <c r="K47" s="14">
        <v>135.9664480109392</v>
      </c>
      <c r="L47" s="7">
        <v>231.16016274033188</v>
      </c>
      <c r="M47" s="8">
        <v>50</v>
      </c>
      <c r="O47" s="15">
        <v>44</v>
      </c>
      <c r="P47" s="10">
        <v>146.4287523858985</v>
      </c>
      <c r="Q47" s="11">
        <v>73.75003479120345</v>
      </c>
      <c r="R47" s="13">
        <v>58.85776775238537</v>
      </c>
      <c r="S47" s="14">
        <v>40.058008982251515</v>
      </c>
      <c r="T47" s="200">
        <f t="shared" si="4"/>
        <v>31.299826890179368</v>
      </c>
      <c r="U47" s="200">
        <f t="shared" si="5"/>
        <v>254.15459434825644</v>
      </c>
      <c r="V47" s="200">
        <f t="shared" si="6"/>
        <v>239.13067744097037</v>
      </c>
      <c r="W47" s="200">
        <f t="shared" si="7"/>
        <v>169.95806001367396</v>
      </c>
      <c r="X47" s="200">
        <f t="shared" si="8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460.80383664659615</v>
      </c>
      <c r="G48" s="4">
        <v>100</v>
      </c>
      <c r="H48" s="13">
        <v>173.46953611816463</v>
      </c>
      <c r="I48" s="5">
        <v>357.14968316565734</v>
      </c>
      <c r="J48" s="6">
        <v>75</v>
      </c>
      <c r="K48" s="14">
        <v>138.77562889453174</v>
      </c>
      <c r="L48" s="7">
        <v>231.22737642842932</v>
      </c>
      <c r="M48" s="8">
        <v>50</v>
      </c>
      <c r="O48" s="15">
        <v>45</v>
      </c>
      <c r="P48" s="10">
        <v>149.25192323114692</v>
      </c>
      <c r="Q48" s="11">
        <v>75.185081095991</v>
      </c>
      <c r="R48" s="13">
        <v>60.00568865701351</v>
      </c>
      <c r="S48" s="14">
        <v>40.840840733417835</v>
      </c>
      <c r="T48" s="200">
        <f t="shared" si="4"/>
        <v>31.946507572406013</v>
      </c>
      <c r="U48" s="200">
        <f t="shared" si="5"/>
        <v>259.4056414879368</v>
      </c>
      <c r="V48" s="200">
        <f t="shared" si="6"/>
        <v>244.07131785318194</v>
      </c>
      <c r="W48" s="200">
        <f t="shared" si="7"/>
        <v>173.46953611816463</v>
      </c>
      <c r="X48" s="200">
        <f t="shared" si="8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460.88622138385495</v>
      </c>
      <c r="G49" s="4">
        <v>100</v>
      </c>
      <c r="H49" s="13">
        <v>176.97399568577063</v>
      </c>
      <c r="I49" s="5">
        <v>357.22968893785225</v>
      </c>
      <c r="J49" s="6">
        <v>75</v>
      </c>
      <c r="K49" s="14">
        <v>141.57919654861652</v>
      </c>
      <c r="L49" s="7">
        <v>231.2882598459428</v>
      </c>
      <c r="M49" s="8">
        <v>50</v>
      </c>
      <c r="O49" s="15">
        <v>46</v>
      </c>
      <c r="P49" s="10">
        <v>152.07477452793887</v>
      </c>
      <c r="Q49" s="11">
        <v>76.61920255573415</v>
      </c>
      <c r="R49" s="13">
        <v>61.15271721568549</v>
      </c>
      <c r="S49" s="14">
        <v>41.62297394532704</v>
      </c>
      <c r="T49" s="200">
        <f t="shared" si="4"/>
        <v>32.59189607472756</v>
      </c>
      <c r="U49" s="200">
        <f t="shared" si="5"/>
        <v>264.64619612678774</v>
      </c>
      <c r="V49" s="200">
        <f t="shared" si="6"/>
        <v>249.00208601091853</v>
      </c>
      <c r="W49" s="200">
        <f t="shared" si="7"/>
        <v>176.97399568577063</v>
      </c>
      <c r="X49" s="200">
        <f t="shared" si="8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460.96061912466956</v>
      </c>
      <c r="G50" s="4">
        <v>100</v>
      </c>
      <c r="H50" s="13">
        <v>180.47160484180637</v>
      </c>
      <c r="I50" s="5">
        <v>357.30193870580723</v>
      </c>
      <c r="J50" s="6">
        <v>75</v>
      </c>
      <c r="K50" s="14">
        <v>144.37728387344512</v>
      </c>
      <c r="L50" s="7">
        <v>231.3432412750582</v>
      </c>
      <c r="M50" s="8">
        <v>50</v>
      </c>
      <c r="O50" s="15">
        <v>47</v>
      </c>
      <c r="P50" s="10">
        <v>154.89733277263946</v>
      </c>
      <c r="Q50" s="11">
        <v>78.05242920196471</v>
      </c>
      <c r="R50" s="13">
        <v>62.29888076516903</v>
      </c>
      <c r="S50" s="14">
        <v>42.40442921563558</v>
      </c>
      <c r="T50" s="200">
        <f t="shared" si="4"/>
        <v>33.236022991124564</v>
      </c>
      <c r="U50" s="200">
        <f t="shared" si="5"/>
        <v>269.87650668793145</v>
      </c>
      <c r="V50" s="200">
        <f t="shared" si="6"/>
        <v>253.92321565219166</v>
      </c>
      <c r="W50" s="200">
        <f t="shared" si="7"/>
        <v>180.47160484180637</v>
      </c>
      <c r="X50" s="200">
        <f t="shared" si="8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461.02756416805255</v>
      </c>
      <c r="G51" s="4">
        <v>100</v>
      </c>
      <c r="H51" s="13">
        <v>183.96252232969957</v>
      </c>
      <c r="I51" s="5">
        <v>357.3669512365853</v>
      </c>
      <c r="J51" s="6">
        <v>75</v>
      </c>
      <c r="K51" s="14">
        <v>147.17001786375968</v>
      </c>
      <c r="L51" s="7">
        <v>231.39271542283072</v>
      </c>
      <c r="M51" s="8">
        <v>50</v>
      </c>
      <c r="O51" s="15">
        <v>48</v>
      </c>
      <c r="P51" s="10">
        <v>157.7196217787702</v>
      </c>
      <c r="Q51" s="11">
        <v>79.48478912158923</v>
      </c>
      <c r="R51" s="13">
        <v>63.44420497046026</v>
      </c>
      <c r="S51" s="14">
        <v>43.1852259333523</v>
      </c>
      <c r="T51" s="200">
        <f t="shared" si="4"/>
        <v>33.878917556114104</v>
      </c>
      <c r="U51" s="200">
        <f t="shared" si="5"/>
        <v>275.09681055564647</v>
      </c>
      <c r="V51" s="200">
        <f t="shared" si="6"/>
        <v>258.83493012871173</v>
      </c>
      <c r="W51" s="200">
        <f t="shared" si="7"/>
        <v>183.96252232969957</v>
      </c>
      <c r="X51" s="200">
        <f t="shared" si="8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461.087549503038</v>
      </c>
      <c r="G52" s="4">
        <v>100</v>
      </c>
      <c r="H52" s="13">
        <v>187.44689998589305</v>
      </c>
      <c r="I52" s="5">
        <v>357.42520519907725</v>
      </c>
      <c r="J52" s="6">
        <v>75</v>
      </c>
      <c r="K52" s="14">
        <v>149.95751998871447</v>
      </c>
      <c r="L52" s="7">
        <v>231.4370464946163</v>
      </c>
      <c r="M52" s="8">
        <v>50</v>
      </c>
      <c r="O52" s="15">
        <v>49</v>
      </c>
      <c r="P52" s="10">
        <v>160.54166299563678</v>
      </c>
      <c r="Q52" s="11">
        <v>80.91630864034832</v>
      </c>
      <c r="R52" s="13">
        <v>64.58871397583758</v>
      </c>
      <c r="S52" s="14">
        <v>43.96538238438816</v>
      </c>
      <c r="T52" s="200">
        <f t="shared" si="4"/>
        <v>34.52060773220867</v>
      </c>
      <c r="U52" s="200">
        <f t="shared" si="5"/>
        <v>280.30733478553435</v>
      </c>
      <c r="V52" s="200">
        <f t="shared" si="6"/>
        <v>263.7374430740742</v>
      </c>
      <c r="W52" s="200">
        <f t="shared" si="7"/>
        <v>187.44689998589305</v>
      </c>
      <c r="X52" s="200">
        <f t="shared" si="8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461.14103053747726</v>
      </c>
      <c r="G53" s="4">
        <v>100</v>
      </c>
      <c r="H53" s="13">
        <v>190.92488317513013</v>
      </c>
      <c r="I53" s="5">
        <v>357.4771427821414</v>
      </c>
      <c r="J53" s="6">
        <v>75</v>
      </c>
      <c r="K53" s="14">
        <v>152.73990654010413</v>
      </c>
      <c r="L53" s="7">
        <v>231.47657094545622</v>
      </c>
      <c r="M53" s="8">
        <v>50</v>
      </c>
      <c r="O53" s="15">
        <v>50</v>
      </c>
      <c r="P53" s="10">
        <v>163.3634757837749</v>
      </c>
      <c r="Q53" s="11">
        <v>82.3470124843717</v>
      </c>
      <c r="R53" s="13">
        <v>65.73243053840304</v>
      </c>
      <c r="S53" s="14">
        <v>44.74491584516868</v>
      </c>
      <c r="T53" s="200">
        <f t="shared" si="4"/>
        <v>35.16112029007922</v>
      </c>
      <c r="U53" s="200">
        <f t="shared" si="5"/>
        <v>285.5082967554432</v>
      </c>
      <c r="V53" s="200">
        <f t="shared" si="6"/>
        <v>268.6309590162052</v>
      </c>
      <c r="W53" s="200">
        <f t="shared" si="7"/>
        <v>190.92488317513013</v>
      </c>
      <c r="X53" s="200">
        <f t="shared" si="8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461.188428441375</v>
      </c>
      <c r="G54" s="4">
        <v>100</v>
      </c>
      <c r="H54" s="13">
        <v>194.3966111901535</v>
      </c>
      <c r="I54" s="5">
        <v>357.52317293887705</v>
      </c>
      <c r="J54" s="6">
        <v>75</v>
      </c>
      <c r="K54" s="14">
        <v>155.5172889521228</v>
      </c>
      <c r="L54" s="7">
        <v>231.5115999472632</v>
      </c>
      <c r="M54" s="8">
        <v>50</v>
      </c>
      <c r="O54" s="15">
        <v>51</v>
      </c>
      <c r="P54" s="10">
        <v>166.18507765376836</v>
      </c>
      <c r="Q54" s="11">
        <v>83.77692392291519</v>
      </c>
      <c r="R54" s="13">
        <v>66.8753761465307</v>
      </c>
      <c r="S54" s="14">
        <v>45.52384266592989</v>
      </c>
      <c r="T54" s="200">
        <f t="shared" si="4"/>
        <v>35.80048088216455</v>
      </c>
      <c r="U54" s="200">
        <f t="shared" si="5"/>
        <v>290.6999047631761</v>
      </c>
      <c r="V54" s="200">
        <f t="shared" si="6"/>
        <v>273.51567393973716</v>
      </c>
      <c r="W54" s="200">
        <f t="shared" si="7"/>
        <v>194.3966111901535</v>
      </c>
      <c r="X54" s="200">
        <f t="shared" si="8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461.23013314950174</v>
      </c>
      <c r="G55" s="4">
        <v>100</v>
      </c>
      <c r="H55" s="13">
        <v>197.86221761936665</v>
      </c>
      <c r="I55" s="5">
        <v>357.56367430040626</v>
      </c>
      <c r="J55" s="6">
        <v>75</v>
      </c>
      <c r="K55" s="14">
        <v>158.28977409549336</v>
      </c>
      <c r="L55" s="7">
        <v>231.5424216047659</v>
      </c>
      <c r="M55" s="8">
        <v>50</v>
      </c>
      <c r="O55" s="15">
        <v>52</v>
      </c>
      <c r="P55" s="10">
        <v>169.00648447388303</v>
      </c>
      <c r="Q55" s="11">
        <v>85.20606489486602</v>
      </c>
      <c r="R55" s="13">
        <v>68.01757112525503</v>
      </c>
      <c r="S55" s="14">
        <v>46.302178345063254</v>
      </c>
      <c r="T55" s="200">
        <f t="shared" si="4"/>
        <v>36.4387141103806</v>
      </c>
      <c r="U55" s="200">
        <f t="shared" si="5"/>
        <v>295.88235857629047</v>
      </c>
      <c r="V55" s="200">
        <f t="shared" si="6"/>
        <v>278.3917758033078</v>
      </c>
      <c r="W55" s="200">
        <f t="shared" si="7"/>
        <v>197.86221761936665</v>
      </c>
      <c r="X55" s="200">
        <f t="shared" si="8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461.2665060622917</v>
      </c>
      <c r="G56" s="4">
        <v>100</v>
      </c>
      <c r="H56" s="13">
        <v>201.32183068559527</v>
      </c>
      <c r="I56" s="5">
        <v>357.59899779697497</v>
      </c>
      <c r="J56" s="6">
        <v>75</v>
      </c>
      <c r="K56" s="14">
        <v>161.05746454847625</v>
      </c>
      <c r="L56" s="7">
        <v>231.56930294894042</v>
      </c>
      <c r="M56" s="8">
        <v>50</v>
      </c>
      <c r="O56" s="15">
        <v>53</v>
      </c>
      <c r="P56" s="10">
        <v>171.82771065107232</v>
      </c>
      <c r="Q56" s="11">
        <v>86.63445612120222</v>
      </c>
      <c r="R56" s="13">
        <v>69.15903473032132</v>
      </c>
      <c r="S56" s="14">
        <v>47.0799375956681</v>
      </c>
      <c r="T56" s="200">
        <f t="shared" si="4"/>
        <v>37.07584358850742</v>
      </c>
      <c r="U56" s="200">
        <f t="shared" si="5"/>
        <v>301.0558499386802</v>
      </c>
      <c r="V56" s="200">
        <f t="shared" si="6"/>
        <v>283.25944501619665</v>
      </c>
      <c r="W56" s="200">
        <f t="shared" si="7"/>
        <v>201.32183068559527</v>
      </c>
      <c r="X56" s="200">
        <f t="shared" si="8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461.2978824790835</v>
      </c>
      <c r="G57" s="4">
        <v>100</v>
      </c>
      <c r="H57" s="13">
        <v>204.77557355871878</v>
      </c>
      <c r="I57" s="5">
        <v>357.6294690194069</v>
      </c>
      <c r="J57" s="6">
        <v>75</v>
      </c>
      <c r="K57" s="14">
        <v>163.82045884697504</v>
      </c>
      <c r="L57" s="7">
        <v>231.5924917330424</v>
      </c>
      <c r="M57" s="8">
        <v>50</v>
      </c>
      <c r="O57" s="15">
        <v>54</v>
      </c>
      <c r="P57" s="10">
        <v>174.6487692891881</v>
      </c>
      <c r="Q57" s="11">
        <v>88.06211720526082</v>
      </c>
      <c r="R57" s="13">
        <v>70.29978523236343</v>
      </c>
      <c r="S57" s="14">
        <v>47.8571344053002</v>
      </c>
      <c r="T57" s="200">
        <f t="shared" si="4"/>
        <v>37.71189199976405</v>
      </c>
      <c r="U57" s="200">
        <f t="shared" si="5"/>
        <v>306.22056303808404</v>
      </c>
      <c r="V57" s="200">
        <f t="shared" si="6"/>
        <v>288.11885487819734</v>
      </c>
      <c r="W57" s="200">
        <f t="shared" si="7"/>
        <v>204.77557355871878</v>
      </c>
      <c r="X57" s="200">
        <f t="shared" si="8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461.32457379355196</v>
      </c>
      <c r="G58" s="4">
        <v>100</v>
      </c>
      <c r="H58" s="13">
        <v>208.22356464463715</v>
      </c>
      <c r="I58" s="5">
        <v>357.65539034984323</v>
      </c>
      <c r="J58" s="6">
        <v>75</v>
      </c>
      <c r="K58" s="14">
        <v>166.57885171570976</v>
      </c>
      <c r="L58" s="7">
        <v>231.61221805321495</v>
      </c>
      <c r="M58" s="8">
        <v>50</v>
      </c>
      <c r="O58" s="15">
        <v>55</v>
      </c>
      <c r="P58" s="10">
        <v>177.46967232759556</v>
      </c>
      <c r="Q58" s="11">
        <v>89.489066722381</v>
      </c>
      <c r="R58" s="13">
        <v>71.43983999244941</v>
      </c>
      <c r="S58" s="14">
        <v>48.633782089754995</v>
      </c>
      <c r="T58" s="200">
        <f t="shared" si="4"/>
        <v>38.34688115002526</v>
      </c>
      <c r="U58" s="200">
        <f t="shared" si="5"/>
        <v>311.3766749382051</v>
      </c>
      <c r="V58" s="200">
        <f t="shared" si="6"/>
        <v>292.970171986193</v>
      </c>
      <c r="W58" s="200">
        <f t="shared" si="7"/>
        <v>208.22356464463715</v>
      </c>
      <c r="X58" s="200">
        <f t="shared" si="8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461.34686947744996</v>
      </c>
      <c r="G59" s="4">
        <v>100</v>
      </c>
      <c r="H59" s="13">
        <v>211.66591785276051</v>
      </c>
      <c r="I59" s="5">
        <v>357.6770428871073</v>
      </c>
      <c r="J59" s="6">
        <v>75</v>
      </c>
      <c r="K59" s="14">
        <v>169.33273428220843</v>
      </c>
      <c r="L59" s="7">
        <v>231.62869581294476</v>
      </c>
      <c r="M59" s="8">
        <v>50</v>
      </c>
      <c r="O59" s="15">
        <v>56</v>
      </c>
      <c r="P59" s="10">
        <v>180.2904306629298</v>
      </c>
      <c r="Q59" s="11">
        <v>90.91532230027221</v>
      </c>
      <c r="R59" s="13">
        <v>72.57921553006639</v>
      </c>
      <c r="S59" s="14">
        <v>49.40989334161165</v>
      </c>
      <c r="T59" s="200">
        <f t="shared" si="4"/>
        <v>38.98083201708297</v>
      </c>
      <c r="U59" s="200">
        <f t="shared" si="5"/>
        <v>316.5243559787137</v>
      </c>
      <c r="V59" s="200">
        <f t="shared" si="6"/>
        <v>297.81355661051384</v>
      </c>
      <c r="W59" s="200">
        <f t="shared" si="7"/>
        <v>211.66591785276051</v>
      </c>
      <c r="X59" s="200">
        <f t="shared" si="8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461.36503887564703</v>
      </c>
      <c r="G60" s="4">
        <v>100</v>
      </c>
      <c r="H60" s="13">
        <v>215.10274284397178</v>
      </c>
      <c r="I60" s="5">
        <v>357.69468818897826</v>
      </c>
      <c r="J60" s="6">
        <v>75</v>
      </c>
      <c r="K60" s="14">
        <v>172.08219427517744</v>
      </c>
      <c r="L60" s="7">
        <v>231.6421240482939</v>
      </c>
      <c r="M60" s="8">
        <v>75</v>
      </c>
      <c r="O60" s="15">
        <v>57</v>
      </c>
      <c r="P60" s="10">
        <v>183.11105425627937</v>
      </c>
      <c r="Q60" s="11">
        <v>92.34090069124909</v>
      </c>
      <c r="R60" s="13">
        <v>73.71792758445487</v>
      </c>
      <c r="S60" s="14">
        <v>50.18548027415579</v>
      </c>
      <c r="T60" s="200">
        <f t="shared" si="4"/>
        <v>39.613764796311564</v>
      </c>
      <c r="U60" s="200">
        <f t="shared" si="5"/>
        <v>321.66377014604984</v>
      </c>
      <c r="V60" s="200">
        <f t="shared" si="6"/>
        <v>302.64916304382035</v>
      </c>
      <c r="W60" s="200">
        <f t="shared" si="7"/>
        <v>215.10274284397178</v>
      </c>
      <c r="X60" s="200">
        <f t="shared" si="8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461.37933283266705</v>
      </c>
      <c r="G61" s="4">
        <v>100</v>
      </c>
      <c r="H61" s="13">
        <v>218.5341452608086</v>
      </c>
      <c r="I61" s="5">
        <v>357.7085698509687</v>
      </c>
      <c r="J61" s="6">
        <v>75</v>
      </c>
      <c r="K61" s="14">
        <v>174.82731620864692</v>
      </c>
      <c r="L61" s="7">
        <v>231.6526881288101</v>
      </c>
      <c r="M61" s="8">
        <v>75</v>
      </c>
      <c r="O61" s="15">
        <v>58</v>
      </c>
      <c r="P61" s="10">
        <v>185.93155222776082</v>
      </c>
      <c r="Q61" s="11">
        <v>93.76581783732283</v>
      </c>
      <c r="R61" s="13">
        <v>74.85599117008134</v>
      </c>
      <c r="S61" s="14">
        <v>50.960554461218365</v>
      </c>
      <c r="T61" s="200">
        <f t="shared" si="4"/>
        <v>40.24569894305868</v>
      </c>
      <c r="U61" s="200">
        <f t="shared" si="5"/>
        <v>326.79507541763644</v>
      </c>
      <c r="V61" s="200">
        <f t="shared" si="6"/>
        <v>307.4771399249683</v>
      </c>
      <c r="W61" s="200">
        <f t="shared" si="7"/>
        <v>218.5341452608086</v>
      </c>
      <c r="X61" s="200">
        <f t="shared" si="8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461.38998516853405</v>
      </c>
      <c r="G62" s="4">
        <v>100</v>
      </c>
      <c r="H62" s="13">
        <v>221.9602269414197</v>
      </c>
      <c r="I62" s="5">
        <v>357.71891493888575</v>
      </c>
      <c r="J62" s="6">
        <v>100</v>
      </c>
      <c r="K62" s="14">
        <v>177.5681815531358</v>
      </c>
      <c r="L62" s="7">
        <v>231.66056084724292</v>
      </c>
      <c r="M62" s="8">
        <v>75</v>
      </c>
      <c r="O62" s="15">
        <v>59</v>
      </c>
      <c r="P62" s="10">
        <v>188.75193294014335</v>
      </c>
      <c r="Q62" s="11">
        <v>95.19008892899515</v>
      </c>
      <c r="R62" s="13">
        <v>75.99342062692747</v>
      </c>
      <c r="S62" s="14">
        <v>51.73512697339321</v>
      </c>
      <c r="T62" s="200">
        <f t="shared" si="4"/>
        <v>40.87665321204783</v>
      </c>
      <c r="U62" s="200">
        <f t="shared" si="5"/>
        <v>331.91842408182833</v>
      </c>
      <c r="V62" s="200">
        <f t="shared" si="6"/>
        <v>312.29763054004536</v>
      </c>
      <c r="W62" s="200">
        <f t="shared" si="7"/>
        <v>221.9602269414197</v>
      </c>
      <c r="X62" s="200">
        <f t="shared" si="8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461.397214019655</v>
      </c>
      <c r="G63" s="4">
        <v>100</v>
      </c>
      <c r="H63" s="13">
        <v>225.3810861186979</v>
      </c>
      <c r="I63" s="5">
        <v>357.7259352904234</v>
      </c>
      <c r="J63" s="6">
        <v>100</v>
      </c>
      <c r="K63" s="14">
        <v>180.30486889495833</v>
      </c>
      <c r="L63" s="7">
        <v>231.6659034096661</v>
      </c>
      <c r="M63" s="8">
        <v>75</v>
      </c>
      <c r="O63" s="15">
        <v>60</v>
      </c>
      <c r="P63" s="10">
        <v>191.5722040729474</v>
      </c>
      <c r="Q63" s="11">
        <v>96.61372845848882</v>
      </c>
      <c r="R63" s="13">
        <v>77.13022966618448</v>
      </c>
      <c r="S63" s="14">
        <v>52.509208411035964</v>
      </c>
      <c r="T63" s="200">
        <f t="shared" si="4"/>
        <v>41.50664569405118</v>
      </c>
      <c r="U63" s="200">
        <f t="shared" si="5"/>
        <v>337.03396303569554</v>
      </c>
      <c r="V63" s="200">
        <f t="shared" si="6"/>
        <v>317.110773102551</v>
      </c>
      <c r="W63" s="200">
        <f t="shared" si="7"/>
        <v>225.3810861186979</v>
      </c>
      <c r="X63" s="200">
        <f t="shared" si="8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461.4012230586425</v>
      </c>
      <c r="G64" s="4">
        <v>100</v>
      </c>
      <c r="H64" s="13">
        <v>228.79681760584717</v>
      </c>
      <c r="I64" s="5">
        <v>357.7298286992798</v>
      </c>
      <c r="J64" s="6">
        <v>100</v>
      </c>
      <c r="K64" s="14">
        <v>183.03745408467776</v>
      </c>
      <c r="L64" s="7">
        <v>231.66886633625663</v>
      </c>
      <c r="M64" s="8">
        <v>75</v>
      </c>
      <c r="O64" s="15">
        <v>61</v>
      </c>
      <c r="P64" s="10">
        <v>194.3923726882371</v>
      </c>
      <c r="Q64" s="11">
        <v>98.03675026804987</v>
      </c>
      <c r="R64" s="13">
        <v>78.26643141186422</v>
      </c>
      <c r="S64" s="14">
        <v>53.28280893439512</v>
      </c>
      <c r="T64" s="200">
        <f t="shared" si="4"/>
        <v>42.13569385006394</v>
      </c>
      <c r="U64" s="200">
        <f t="shared" si="5"/>
        <v>342.14183406251914</v>
      </c>
      <c r="V64" s="200">
        <f t="shared" si="6"/>
        <v>321.91670101448847</v>
      </c>
      <c r="W64" s="200">
        <f t="shared" si="7"/>
        <v>228.79681760584717</v>
      </c>
      <c r="X64" s="200">
        <f t="shared" si="8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461.40220260539166</v>
      </c>
      <c r="G65" s="4">
        <v>100</v>
      </c>
      <c r="H65" s="13">
        <v>232.20751296951138</v>
      </c>
      <c r="I65" s="5">
        <v>357.7307799937418</v>
      </c>
      <c r="J65" s="6">
        <v>100</v>
      </c>
      <c r="K65" s="14">
        <v>185.76601037560914</v>
      </c>
      <c r="L65" s="7">
        <v>231.66959028181319</v>
      </c>
      <c r="M65" s="8">
        <v>75</v>
      </c>
      <c r="O65" s="15">
        <v>62</v>
      </c>
      <c r="P65" s="10">
        <v>197.2124452891523</v>
      </c>
      <c r="Q65" s="11">
        <v>99.4591675938737</v>
      </c>
      <c r="R65" s="13">
        <v>79.40203843877211</v>
      </c>
      <c r="S65" s="14">
        <v>54.055938291180965</v>
      </c>
      <c r="T65" s="200">
        <f t="shared" si="4"/>
        <v>42.763814543188104</v>
      </c>
      <c r="U65" s="200">
        <f t="shared" si="5"/>
        <v>347.2421740906874</v>
      </c>
      <c r="V65" s="200">
        <f t="shared" si="6"/>
        <v>326.7155431099571</v>
      </c>
      <c r="W65" s="200">
        <f t="shared" si="7"/>
        <v>232.20751296951138</v>
      </c>
      <c r="X65" s="200">
        <f t="shared" si="8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461.40033064034793</v>
      </c>
      <c r="G66" s="4">
        <v>112.5</v>
      </c>
      <c r="H66" s="13">
        <v>235.61326069149047</v>
      </c>
      <c r="I66" s="5">
        <v>357.72896202034644</v>
      </c>
      <c r="J66" s="6">
        <v>100</v>
      </c>
      <c r="K66" s="14">
        <v>188.4906085531924</v>
      </c>
      <c r="L66" s="7">
        <v>231.66820678408223</v>
      </c>
      <c r="M66" s="8">
        <v>75</v>
      </c>
      <c r="O66" s="15">
        <v>63</v>
      </c>
      <c r="P66" s="10">
        <v>200.03242787207273</v>
      </c>
      <c r="Q66" s="11">
        <v>100.88099310613133</v>
      </c>
      <c r="R66" s="13">
        <v>80.5370628072285</v>
      </c>
      <c r="S66" s="14">
        <v>54.828605841838865</v>
      </c>
      <c r="T66" s="200">
        <f t="shared" si="4"/>
        <v>43.39102406841445</v>
      </c>
      <c r="U66" s="200">
        <f t="shared" si="5"/>
        <v>352.3351154355253</v>
      </c>
      <c r="V66" s="200">
        <f t="shared" si="6"/>
        <v>331.5074238826864</v>
      </c>
      <c r="W66" s="200">
        <f t="shared" si="7"/>
        <v>235.61326069149047</v>
      </c>
      <c r="X66" s="200">
        <f t="shared" si="8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461.3957737296549</v>
      </c>
      <c r="G67" s="4">
        <v>112.5</v>
      </c>
      <c r="H67" s="13">
        <v>239.01414631996184</v>
      </c>
      <c r="I67" s="5">
        <v>357.72453654202053</v>
      </c>
      <c r="J67" s="6">
        <v>100</v>
      </c>
      <c r="K67" s="14">
        <v>191.2113170559695</v>
      </c>
      <c r="L67" s="7">
        <v>231.664838947039</v>
      </c>
      <c r="M67" s="8">
        <v>75</v>
      </c>
      <c r="O67" s="15">
        <v>64</v>
      </c>
      <c r="P67" s="10">
        <v>202.85232597320962</v>
      </c>
      <c r="Q67" s="11">
        <v>102.30223894552336</v>
      </c>
      <c r="R67" s="13">
        <v>81.67151609488373</v>
      </c>
      <c r="S67" s="14">
        <v>55.60082058276518</v>
      </c>
      <c r="T67" s="200">
        <f t="shared" si="4"/>
        <v>44.017338180471796</v>
      </c>
      <c r="U67" s="200">
        <f t="shared" si="5"/>
        <v>357.42078602543097</v>
      </c>
      <c r="V67" s="200">
        <f t="shared" si="6"/>
        <v>336.2924636988045</v>
      </c>
      <c r="W67" s="200">
        <f t="shared" si="7"/>
        <v>239.01414631996184</v>
      </c>
      <c r="X67" s="200">
        <f t="shared" si="8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461.3886878708453</v>
      </c>
      <c r="G68" s="4">
        <v>112.5</v>
      </c>
      <c r="H68" s="13">
        <v>242.4102526110425</v>
      </c>
      <c r="I68" s="5">
        <v>357.7176550591035</v>
      </c>
      <c r="J68" s="6">
        <v>100</v>
      </c>
      <c r="K68" s="14">
        <v>193.928202088834</v>
      </c>
      <c r="L68" s="7">
        <v>231.65960206550966</v>
      </c>
      <c r="M68" s="8">
        <v>75</v>
      </c>
      <c r="O68" s="15">
        <v>65</v>
      </c>
      <c r="P68" s="10">
        <v>205.67214471026685</v>
      </c>
      <c r="Q68" s="11">
        <v>103.72291675671653</v>
      </c>
      <c r="R68" s="13">
        <v>82.8054094259179</v>
      </c>
      <c r="S68" s="14">
        <v>56.37259116766727</v>
      </c>
      <c r="T68" s="200">
        <f t="shared" si="4"/>
        <v>44.64277211989733</v>
      </c>
      <c r="U68" s="200">
        <f aca="true" t="shared" si="9" ref="U68:U99">+T68*$U$3</f>
        <v>362.4993096135663</v>
      </c>
      <c r="V68" s="200">
        <f aca="true" t="shared" si="10" ref="V68:V99">+T68*$V$3</f>
        <v>341.0707789960156</v>
      </c>
      <c r="W68" s="200">
        <f aca="true" t="shared" si="11" ref="W68:W99">+T68*$W$3</f>
        <v>242.4102526110425</v>
      </c>
      <c r="X68" s="200">
        <f aca="true" t="shared" si="12" ref="X68:X99">+T68*$X$3</f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461.3792192667473</v>
      </c>
      <c r="G69" s="4">
        <v>112.5</v>
      </c>
      <c r="H69" s="13">
        <v>245.80165966144872</v>
      </c>
      <c r="I69" s="5">
        <v>357.70845956069667</v>
      </c>
      <c r="J69" s="6">
        <v>100</v>
      </c>
      <c r="K69" s="14">
        <v>196.641327729159</v>
      </c>
      <c r="L69" s="7">
        <v>231.65260419680197</v>
      </c>
      <c r="M69" s="8">
        <v>75</v>
      </c>
      <c r="O69" s="15">
        <v>66</v>
      </c>
      <c r="P69" s="10">
        <v>208.49188881978992</v>
      </c>
      <c r="Q69" s="11">
        <v>105.14303771899947</v>
      </c>
      <c r="R69" s="13">
        <v>83.938753497898</v>
      </c>
      <c r="S69" s="14">
        <v>57.143925927256674</v>
      </c>
      <c r="T69" s="200">
        <f aca="true" t="shared" si="13" ref="T69:T108">+POWER(A69,0.91)</f>
        <v>45.26734063746754</v>
      </c>
      <c r="U69" s="200">
        <f t="shared" si="9"/>
        <v>367.5708059762364</v>
      </c>
      <c r="V69" s="200">
        <f t="shared" si="10"/>
        <v>345.842482470252</v>
      </c>
      <c r="W69" s="200">
        <f t="shared" si="11"/>
        <v>245.80165966144872</v>
      </c>
      <c r="X69" s="200">
        <f t="shared" si="12"/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461.3675050344906</v>
      </c>
      <c r="G70" s="4">
        <v>112.5</v>
      </c>
      <c r="H70" s="13">
        <v>249.1884450329386</v>
      </c>
      <c r="I70" s="5">
        <v>357.6970832130211</v>
      </c>
      <c r="J70" s="6">
        <v>100</v>
      </c>
      <c r="K70" s="14">
        <v>199.35075602635092</v>
      </c>
      <c r="L70" s="7">
        <v>231.64394668442102</v>
      </c>
      <c r="M70" s="8">
        <v>75</v>
      </c>
      <c r="O70" s="15">
        <v>67</v>
      </c>
      <c r="P70" s="10">
        <v>211.31156269067912</v>
      </c>
      <c r="Q70" s="11">
        <v>106.5626125744295</v>
      </c>
      <c r="R70" s="13">
        <v>85.07155860651633</v>
      </c>
      <c r="S70" s="14">
        <v>57.91483288743127</v>
      </c>
      <c r="T70" s="200">
        <f t="shared" si="13"/>
        <v>45.89105801711577</v>
      </c>
      <c r="U70" s="200">
        <f t="shared" si="9"/>
        <v>372.63539109898</v>
      </c>
      <c r="V70" s="200">
        <f t="shared" si="10"/>
        <v>350.60768325076447</v>
      </c>
      <c r="W70" s="200">
        <f t="shared" si="11"/>
        <v>249.1884450329386</v>
      </c>
      <c r="X70" s="200">
        <f t="shared" si="12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461.3536738557493</v>
      </c>
      <c r="G71" s="4">
        <v>112.5</v>
      </c>
      <c r="H71" s="13">
        <v>252.57068386916137</v>
      </c>
      <c r="I71" s="5">
        <v>357.68365099073696</v>
      </c>
      <c r="J71" s="6">
        <v>100</v>
      </c>
      <c r="K71" s="14">
        <v>202.0565470953291</v>
      </c>
      <c r="L71" s="7">
        <v>231.63372463839784</v>
      </c>
      <c r="M71" s="8">
        <v>75</v>
      </c>
      <c r="O71" s="15">
        <v>68</v>
      </c>
      <c r="P71" s="10">
        <v>214.1311703943222</v>
      </c>
      <c r="Q71" s="11">
        <v>107.98165165372636</v>
      </c>
      <c r="R71" s="13">
        <v>86.20383466841959</v>
      </c>
      <c r="S71" s="14">
        <v>58.685319786092194</v>
      </c>
      <c r="T71" s="200">
        <f t="shared" si="13"/>
        <v>46.51393809745145</v>
      </c>
      <c r="U71" s="200">
        <f t="shared" si="9"/>
        <v>377.69317735130574</v>
      </c>
      <c r="V71" s="200">
        <f t="shared" si="10"/>
        <v>355.36648706452905</v>
      </c>
      <c r="W71" s="200">
        <f t="shared" si="11"/>
        <v>252.57068386916137</v>
      </c>
      <c r="X71" s="200">
        <f t="shared" si="12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461.33784657371257</v>
      </c>
      <c r="G72" s="4">
        <v>112.5</v>
      </c>
      <c r="H72" s="13">
        <v>255.9484490054822</v>
      </c>
      <c r="I72" s="5">
        <v>357.66828025654854</v>
      </c>
      <c r="J72" s="6">
        <v>100</v>
      </c>
      <c r="K72" s="14">
        <v>204.7587592043858</v>
      </c>
      <c r="L72" s="7">
        <v>231.62202737628104</v>
      </c>
      <c r="M72" s="8">
        <v>75</v>
      </c>
      <c r="O72" s="15">
        <v>69</v>
      </c>
      <c r="P72" s="10">
        <v>216.9507157117277</v>
      </c>
      <c r="Q72" s="11">
        <v>109.40016490013227</v>
      </c>
      <c r="R72" s="13">
        <v>87.33559124230948</v>
      </c>
      <c r="S72" s="14">
        <v>59.45539408872211</v>
      </c>
      <c r="T72" s="200">
        <f t="shared" si="13"/>
        <v>47.135994291985675</v>
      </c>
      <c r="U72" s="200">
        <f t="shared" si="9"/>
        <v>382.7442736509236</v>
      </c>
      <c r="V72" s="200">
        <f t="shared" si="10"/>
        <v>360.1189963907705</v>
      </c>
      <c r="W72" s="200">
        <f t="shared" si="11"/>
        <v>255.9484490054822</v>
      </c>
      <c r="X72" s="200">
        <f t="shared" si="12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461.32013674170366</v>
      </c>
      <c r="G73" s="4">
        <v>112.5</v>
      </c>
      <c r="H73" s="13">
        <v>259.32181107230065</v>
      </c>
      <c r="I73" s="5">
        <v>357.65108129388165</v>
      </c>
      <c r="J73" s="6">
        <v>100</v>
      </c>
      <c r="K73" s="14">
        <v>207.45744885784055</v>
      </c>
      <c r="L73" s="7">
        <v>231.6089388284283</v>
      </c>
      <c r="M73" s="8">
        <v>75</v>
      </c>
      <c r="O73" s="15">
        <v>70</v>
      </c>
      <c r="P73" s="10">
        <v>219.77020215799695</v>
      </c>
      <c r="Q73" s="11">
        <v>110.8181618914353</v>
      </c>
      <c r="R73" s="13">
        <v>88.46683754847716</v>
      </c>
      <c r="S73" s="14">
        <v>60.225063002838084</v>
      </c>
      <c r="T73" s="200">
        <f t="shared" si="13"/>
        <v>47.7572396081585</v>
      </c>
      <c r="U73" s="200">
        <f t="shared" si="9"/>
        <v>387.788785618247</v>
      </c>
      <c r="V73" s="200">
        <f t="shared" si="10"/>
        <v>364.8653106063309</v>
      </c>
      <c r="W73" s="200">
        <f t="shared" si="11"/>
        <v>259.32181107230065</v>
      </c>
      <c r="X73" s="200">
        <f t="shared" si="12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461.3006511278737</v>
      </c>
      <c r="G74" s="4">
        <v>112.5</v>
      </c>
      <c r="H74" s="13">
        <v>262.6908385923348</v>
      </c>
      <c r="I74" s="5">
        <v>357.6321577969178</v>
      </c>
      <c r="J74" s="6">
        <v>100</v>
      </c>
      <c r="K74" s="14">
        <v>210.15267087386786</v>
      </c>
      <c r="L74" s="7">
        <v>231.59453791086017</v>
      </c>
      <c r="M74" s="8">
        <v>75</v>
      </c>
      <c r="O74" s="15">
        <v>71</v>
      </c>
      <c r="P74" s="10">
        <v>222.5896330044165</v>
      </c>
      <c r="Q74" s="11">
        <v>112.23565186032468</v>
      </c>
      <c r="R74" s="13">
        <v>89.59758248691169</v>
      </c>
      <c r="S74" s="14">
        <v>60.994333491417976</v>
      </c>
      <c r="T74" s="200">
        <f t="shared" si="13"/>
        <v>48.37768666525503</v>
      </c>
      <c r="U74" s="200">
        <f t="shared" si="9"/>
        <v>392.8268157218708</v>
      </c>
      <c r="V74" s="200">
        <f t="shared" si="10"/>
        <v>369.6055261225484</v>
      </c>
      <c r="W74" s="200">
        <f t="shared" si="11"/>
        <v>262.6908385923348</v>
      </c>
      <c r="X74" s="200">
        <f t="shared" si="12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461.279490179919</v>
      </c>
      <c r="G75" s="4">
        <v>125</v>
      </c>
      <c r="H75" s="13">
        <v>266.0555980723035</v>
      </c>
      <c r="I75" s="5">
        <v>357.6116073218207</v>
      </c>
      <c r="J75" s="6">
        <v>100</v>
      </c>
      <c r="K75" s="14">
        <v>212.84447845784283</v>
      </c>
      <c r="L75" s="7">
        <v>231.57889886859306</v>
      </c>
      <c r="M75" s="8">
        <v>75</v>
      </c>
      <c r="O75" s="15">
        <v>72</v>
      </c>
      <c r="P75" s="10">
        <v>225.40901129846233</v>
      </c>
      <c r="Q75" s="11">
        <v>113.65264371324555</v>
      </c>
      <c r="R75" s="13">
        <v>90.72783465412024</v>
      </c>
      <c r="S75" s="14">
        <v>61.76321228539646</v>
      </c>
      <c r="T75" s="200">
        <f t="shared" si="13"/>
        <v>48.997347711289784</v>
      </c>
      <c r="U75" s="200">
        <f t="shared" si="9"/>
        <v>397.858463415673</v>
      </c>
      <c r="V75" s="200">
        <f t="shared" si="10"/>
        <v>374.33973651425396</v>
      </c>
      <c r="W75" s="200">
        <f t="shared" si="11"/>
        <v>266.0555980723035</v>
      </c>
      <c r="X75" s="200">
        <f t="shared" si="12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461.2567484534212</v>
      </c>
      <c r="G76" s="4">
        <v>125</v>
      </c>
      <c r="H76" s="13">
        <v>269.41615408940385</v>
      </c>
      <c r="I76" s="5">
        <v>357.5895217026514</v>
      </c>
      <c r="J76" s="6">
        <v>100</v>
      </c>
      <c r="K76" s="14">
        <v>215.5329232715231</v>
      </c>
      <c r="L76" s="7">
        <v>231.5620915921051</v>
      </c>
      <c r="M76" s="8">
        <v>75</v>
      </c>
      <c r="O76" s="15">
        <v>73</v>
      </c>
      <c r="P76" s="10">
        <v>228.2283398818875</v>
      </c>
      <c r="Q76" s="11">
        <v>115.0691460478691</v>
      </c>
      <c r="R76" s="13">
        <v>91.85760235875877</v>
      </c>
      <c r="S76" s="14">
        <v>62.53170589530145</v>
      </c>
      <c r="T76" s="200">
        <f t="shared" si="13"/>
        <v>49.61623463893257</v>
      </c>
      <c r="U76" s="200">
        <f t="shared" si="9"/>
        <v>402.8838252681324</v>
      </c>
      <c r="V76" s="200">
        <f t="shared" si="10"/>
        <v>379.0680326414448</v>
      </c>
      <c r="W76" s="200">
        <f t="shared" si="11"/>
        <v>269.41615408940385</v>
      </c>
      <c r="X76" s="200">
        <f t="shared" si="12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461.23251500699195</v>
      </c>
      <c r="G77" s="4">
        <v>125</v>
      </c>
      <c r="H77" s="13">
        <v>272.772569372945</v>
      </c>
      <c r="I77" s="5">
        <v>357.5659874350536</v>
      </c>
      <c r="J77" s="6">
        <v>100</v>
      </c>
      <c r="K77" s="14">
        <v>218.218055498356</v>
      </c>
      <c r="L77" s="7">
        <v>231.5441819092879</v>
      </c>
      <c r="M77" s="8">
        <v>75</v>
      </c>
      <c r="O77" s="15">
        <v>74</v>
      </c>
      <c r="P77" s="10">
        <v>231.04762140715914</v>
      </c>
      <c r="Q77" s="11">
        <v>116.48516716932745</v>
      </c>
      <c r="R77" s="13">
        <v>92.98689363619509</v>
      </c>
      <c r="S77" s="14">
        <v>63.299820622115575</v>
      </c>
      <c r="T77" s="200">
        <f t="shared" si="13"/>
        <v>50.234359000542355</v>
      </c>
      <c r="U77" s="200">
        <f t="shared" si="9"/>
        <v>407.90299508440387</v>
      </c>
      <c r="V77" s="200">
        <f t="shared" si="10"/>
        <v>383.7905027641436</v>
      </c>
      <c r="W77" s="200">
        <f t="shared" si="11"/>
        <v>272.772569372945</v>
      </c>
      <c r="X77" s="200">
        <f t="shared" si="12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461.20687376714824</v>
      </c>
      <c r="G78" s="4">
        <v>125</v>
      </c>
      <c r="H78" s="13">
        <v>276.1249048814718</v>
      </c>
      <c r="I78" s="5">
        <v>357.5410860305577</v>
      </c>
      <c r="J78" s="6">
        <v>100</v>
      </c>
      <c r="K78" s="14">
        <v>220.8999239051775</v>
      </c>
      <c r="L78" s="7">
        <v>231.52523185504003</v>
      </c>
      <c r="M78" s="8">
        <v>75</v>
      </c>
      <c r="O78" s="15">
        <v>75</v>
      </c>
      <c r="P78" s="10">
        <v>233.8668583523635</v>
      </c>
      <c r="Q78" s="11">
        <v>117.90071510530018</v>
      </c>
      <c r="R78" s="13">
        <v>94.11571626207954</v>
      </c>
      <c r="S78" s="14">
        <v>64.06756256741728</v>
      </c>
      <c r="T78" s="200">
        <f t="shared" si="13"/>
        <v>50.851732022370506</v>
      </c>
      <c r="U78" s="200">
        <f t="shared" si="9"/>
        <v>412.9160640216485</v>
      </c>
      <c r="V78" s="200">
        <f t="shared" si="10"/>
        <v>388.5072326509106</v>
      </c>
      <c r="W78" s="200">
        <f t="shared" si="11"/>
        <v>276.1249048814718</v>
      </c>
      <c r="X78" s="200">
        <f t="shared" si="12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461.1799038655186</v>
      </c>
      <c r="G79" s="4">
        <v>125</v>
      </c>
      <c r="H79" s="13">
        <v>279.47321987568756</v>
      </c>
      <c r="I79" s="5">
        <v>357.51489434401987</v>
      </c>
      <c r="J79" s="6">
        <v>100</v>
      </c>
      <c r="K79" s="14">
        <v>223.57857590055008</v>
      </c>
      <c r="L79" s="7">
        <v>231.50529992042644</v>
      </c>
      <c r="M79" s="8">
        <v>75</v>
      </c>
      <c r="O79" s="15">
        <v>76</v>
      </c>
      <c r="P79" s="10">
        <v>236.68605303476986</v>
      </c>
      <c r="Q79" s="11">
        <v>119.31579762006504</v>
      </c>
      <c r="R79" s="13">
        <v>95.2440777650163</v>
      </c>
      <c r="S79" s="14">
        <v>64.83493764286695</v>
      </c>
      <c r="T79" s="200">
        <f t="shared" si="13"/>
        <v>51.468364617990346</v>
      </c>
      <c r="U79" s="200">
        <f t="shared" si="9"/>
        <v>417.92312069808156</v>
      </c>
      <c r="V79" s="200">
        <f t="shared" si="10"/>
        <v>393.2183056814462</v>
      </c>
      <c r="W79" s="200">
        <f t="shared" si="11"/>
        <v>279.47321987568756</v>
      </c>
      <c r="X79" s="200">
        <f t="shared" si="12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461.1516799507542</v>
      </c>
      <c r="G80" s="4">
        <v>125</v>
      </c>
      <c r="H80" s="13">
        <v>282.81757198744856</v>
      </c>
      <c r="I80" s="5">
        <v>357.4874848765017</v>
      </c>
      <c r="J80" s="6">
        <v>100</v>
      </c>
      <c r="K80" s="14">
        <v>226.25405758995888</v>
      </c>
      <c r="L80" s="7">
        <v>231.48444128315066</v>
      </c>
      <c r="M80" s="8">
        <v>75</v>
      </c>
      <c r="O80" s="15">
        <v>77</v>
      </c>
      <c r="P80" s="10">
        <v>239.50520762318584</v>
      </c>
      <c r="Q80" s="11">
        <v>120.7304222275997</v>
      </c>
      <c r="R80" s="13">
        <v>96.37198543840843</v>
      </c>
      <c r="S80" s="14">
        <v>65.60195157908979</v>
      </c>
      <c r="T80" s="200">
        <f t="shared" si="13"/>
        <v>52.08426740100342</v>
      </c>
      <c r="U80" s="200">
        <f t="shared" si="9"/>
        <v>422.92425129614776</v>
      </c>
      <c r="V80" s="200">
        <f t="shared" si="10"/>
        <v>397.92380294366615</v>
      </c>
      <c r="W80" s="200">
        <f t="shared" si="11"/>
        <v>282.81757198744856</v>
      </c>
      <c r="X80" s="200">
        <f t="shared" si="12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461.12227247728026</v>
      </c>
      <c r="G81" s="4">
        <v>125</v>
      </c>
      <c r="H81" s="13">
        <v>286.1580172851005</v>
      </c>
      <c r="I81" s="5">
        <v>357.45892605566775</v>
      </c>
      <c r="J81" s="6">
        <v>100</v>
      </c>
      <c r="K81" s="14">
        <v>228.92641382808046</v>
      </c>
      <c r="L81" s="7">
        <v>231.4627080209234</v>
      </c>
      <c r="M81" s="8">
        <v>75</v>
      </c>
      <c r="O81" s="15">
        <v>78</v>
      </c>
      <c r="P81" s="10">
        <v>242.32432414920592</v>
      </c>
      <c r="Q81" s="11">
        <v>122.14459620380563</v>
      </c>
      <c r="R81" s="13">
        <v>97.49944635153783</v>
      </c>
      <c r="S81" s="14">
        <v>66.36860993399999</v>
      </c>
      <c r="T81" s="200">
        <f t="shared" si="13"/>
        <v>52.699450697071924</v>
      </c>
      <c r="U81" s="200">
        <f t="shared" si="9"/>
        <v>427.91953966022396</v>
      </c>
      <c r="V81" s="200">
        <f t="shared" si="10"/>
        <v>402.62380332562947</v>
      </c>
      <c r="W81" s="200">
        <f t="shared" si="11"/>
        <v>286.1580172851005</v>
      </c>
      <c r="X81" s="200">
        <f t="shared" si="12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461.0917479728323</v>
      </c>
      <c r="G82" s="4">
        <v>125</v>
      </c>
      <c r="H82" s="13">
        <v>289.4946103353891</v>
      </c>
      <c r="I82" s="5">
        <v>357.42928249558497</v>
      </c>
      <c r="J82" s="6">
        <v>100</v>
      </c>
      <c r="K82" s="14">
        <v>231.5956882683113</v>
      </c>
      <c r="L82" s="7">
        <v>231.440149309157</v>
      </c>
      <c r="M82" s="8">
        <v>75</v>
      </c>
      <c r="O82" s="15">
        <v>79</v>
      </c>
      <c r="P82" s="10">
        <v>245.14340451749274</v>
      </c>
      <c r="Q82" s="11">
        <v>123.55832659793853</v>
      </c>
      <c r="R82" s="13">
        <v>98.62646735994997</v>
      </c>
      <c r="S82" s="14">
        <v>67.13491810061504</v>
      </c>
      <c r="T82" s="200">
        <f t="shared" si="13"/>
        <v>53.31392455532028</v>
      </c>
      <c r="U82" s="200">
        <f t="shared" si="9"/>
        <v>432.90906738920063</v>
      </c>
      <c r="V82" s="200">
        <f t="shared" si="10"/>
        <v>407.3183836026469</v>
      </c>
      <c r="W82" s="200">
        <f t="shared" si="11"/>
        <v>289.4946103353891</v>
      </c>
      <c r="X82" s="200">
        <f t="shared" si="12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461.0601692865305</v>
      </c>
      <c r="G83" s="4">
        <v>125</v>
      </c>
      <c r="H83" s="13">
        <v>292.82740426216446</v>
      </c>
      <c r="I83" s="5">
        <v>357.39861523762244</v>
      </c>
      <c r="J83" s="6">
        <v>100</v>
      </c>
      <c r="K83" s="14">
        <v>234.26192340973162</v>
      </c>
      <c r="L83" s="7">
        <v>231.4168116042821</v>
      </c>
      <c r="M83" s="8">
        <v>75</v>
      </c>
      <c r="O83" s="15">
        <v>80</v>
      </c>
      <c r="P83" s="10">
        <v>247.96245051516544</v>
      </c>
      <c r="Q83" s="11">
        <v>124.97162024330125</v>
      </c>
      <c r="R83" s="13">
        <v>99.75305511519205</v>
      </c>
      <c r="S83" s="14">
        <v>67.9008813143955</v>
      </c>
      <c r="T83" s="200">
        <f t="shared" si="13"/>
        <v>53.92769875914632</v>
      </c>
      <c r="U83" s="200">
        <f t="shared" si="9"/>
        <v>437.89291392426804</v>
      </c>
      <c r="V83" s="200">
        <f t="shared" si="10"/>
        <v>412.00761851987784</v>
      </c>
      <c r="W83" s="200">
        <f t="shared" si="11"/>
        <v>292.82740426216446</v>
      </c>
      <c r="X83" s="200">
        <f t="shared" si="12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461.0275958190853</v>
      </c>
      <c r="G84" s="4">
        <v>150</v>
      </c>
      <c r="H84" s="13">
        <v>296.1564508020893</v>
      </c>
      <c r="I84" s="5">
        <v>357.3669819740082</v>
      </c>
      <c r="J84" s="6">
        <v>112.5</v>
      </c>
      <c r="K84" s="14">
        <v>236.92516064167148</v>
      </c>
      <c r="L84" s="7">
        <v>231.39273881386904</v>
      </c>
      <c r="M84" s="8">
        <v>75</v>
      </c>
      <c r="O84" s="15">
        <v>81</v>
      </c>
      <c r="P84" s="10">
        <v>250.78146382039037</v>
      </c>
      <c r="Q84" s="11">
        <v>126.38448376726129</v>
      </c>
      <c r="R84" s="13">
        <v>100.87921607395674</v>
      </c>
      <c r="S84" s="14">
        <v>68.66650466014785</v>
      </c>
      <c r="T84" s="200">
        <f t="shared" si="13"/>
        <v>54.54078283648054</v>
      </c>
      <c r="U84" s="200">
        <f t="shared" si="9"/>
        <v>442.8711566322219</v>
      </c>
      <c r="V84" s="200">
        <f t="shared" si="10"/>
        <v>416.6915808707113</v>
      </c>
      <c r="W84" s="200">
        <f t="shared" si="11"/>
        <v>296.1564508020893</v>
      </c>
      <c r="X84" s="200">
        <f t="shared" si="12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460.9940837365995</v>
      </c>
      <c r="G85" s="4">
        <v>150</v>
      </c>
      <c r="H85" s="13">
        <v>299.4818003575317</v>
      </c>
      <c r="I85" s="5">
        <v>357.3344372554514</v>
      </c>
      <c r="J85" s="6">
        <v>112.5</v>
      </c>
      <c r="K85" s="14">
        <v>239.5854402860254</v>
      </c>
      <c r="L85" s="7">
        <v>231.3679724546249</v>
      </c>
      <c r="M85" s="8">
        <v>75</v>
      </c>
      <c r="O85" s="15">
        <v>82</v>
      </c>
      <c r="P85" s="10">
        <v>253.60044601024313</v>
      </c>
      <c r="Q85" s="11">
        <v>127.79692360064334</v>
      </c>
      <c r="R85" s="13">
        <v>102.00495650667517</v>
      </c>
      <c r="S85" s="14">
        <v>69.43179307852137</v>
      </c>
      <c r="T85" s="200">
        <f t="shared" si="13"/>
        <v>55.153186069527024</v>
      </c>
      <c r="U85" s="200">
        <f t="shared" si="9"/>
        <v>447.8438708845594</v>
      </c>
      <c r="V85" s="200">
        <f t="shared" si="10"/>
        <v>421.37034157118643</v>
      </c>
      <c r="W85" s="200">
        <f t="shared" si="11"/>
        <v>299.4818003575317</v>
      </c>
      <c r="X85" s="200">
        <f t="shared" si="12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460.9596861692613</v>
      </c>
      <c r="G86" s="4">
        <v>150</v>
      </c>
      <c r="H86" s="13">
        <v>302.8035020468248</v>
      </c>
      <c r="I86" s="5">
        <v>357.3010326841022</v>
      </c>
      <c r="J86" s="6">
        <v>112.5</v>
      </c>
      <c r="K86" s="14">
        <v>242.24280163745985</v>
      </c>
      <c r="L86" s="7">
        <v>231.3425517992322</v>
      </c>
      <c r="M86" s="8">
        <v>75</v>
      </c>
      <c r="O86" s="15">
        <v>83</v>
      </c>
      <c r="P86" s="10">
        <v>256.41939856793203</v>
      </c>
      <c r="Q86" s="11">
        <v>129.20894598655318</v>
      </c>
      <c r="R86" s="13">
        <v>103.13028250560615</v>
      </c>
      <c r="S86" s="14">
        <v>70.19675137213295</v>
      </c>
      <c r="T86" s="200">
        <f t="shared" si="13"/>
        <v>55.7649175040193</v>
      </c>
      <c r="U86" s="200">
        <f t="shared" si="9"/>
        <v>452.81113013263666</v>
      </c>
      <c r="V86" s="200">
        <f t="shared" si="10"/>
        <v>426.04396973070743</v>
      </c>
      <c r="W86" s="200">
        <f t="shared" si="11"/>
        <v>302.8035020468248</v>
      </c>
      <c r="X86" s="200">
        <f t="shared" si="12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460.9244533961575</v>
      </c>
      <c r="G87" s="4">
        <v>150</v>
      </c>
      <c r="H87" s="13">
        <v>306.12160375204604</v>
      </c>
      <c r="I87" s="5">
        <v>357.26681709302784</v>
      </c>
      <c r="J87" s="6">
        <v>112.5</v>
      </c>
      <c r="K87" s="14">
        <v>244.89728300163685</v>
      </c>
      <c r="L87" s="7">
        <v>231.31651401293087</v>
      </c>
      <c r="M87" s="8">
        <v>75</v>
      </c>
      <c r="O87" s="15">
        <v>84</v>
      </c>
      <c r="P87" s="10">
        <v>259.238322889408</v>
      </c>
      <c r="Q87" s="11">
        <v>130.62055698866246</v>
      </c>
      <c r="R87" s="13">
        <v>104.25519999244865</v>
      </c>
      <c r="S87" s="14">
        <v>70.96138421133966</v>
      </c>
      <c r="T87" s="200">
        <f t="shared" si="13"/>
        <v>56.37598595801953</v>
      </c>
      <c r="U87" s="200">
        <f t="shared" si="9"/>
        <v>457.7730059791185</v>
      </c>
      <c r="V87" s="200">
        <f t="shared" si="10"/>
        <v>430.7125327192692</v>
      </c>
      <c r="W87" s="200">
        <f t="shared" si="11"/>
        <v>306.12160375204604</v>
      </c>
      <c r="X87" s="200">
        <f t="shared" si="12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460.8884330172802</v>
      </c>
      <c r="G88" s="4">
        <v>150</v>
      </c>
      <c r="H88" s="13">
        <v>309.43615216447694</v>
      </c>
      <c r="I88" s="5">
        <v>357.2318367132563</v>
      </c>
      <c r="J88" s="6">
        <v>112.5</v>
      </c>
      <c r="K88" s="14">
        <v>247.54892173158157</v>
      </c>
      <c r="L88" s="7">
        <v>231.28989428063855</v>
      </c>
      <c r="M88" s="8">
        <v>75</v>
      </c>
      <c r="O88" s="15">
        <v>85</v>
      </c>
      <c r="P88" s="10">
        <v>262.05722028945047</v>
      </c>
      <c r="Q88" s="11">
        <v>132.0317624990077</v>
      </c>
      <c r="R88" s="13">
        <v>105.37971472552204</v>
      </c>
      <c r="S88" s="14">
        <v>71.72569613969098</v>
      </c>
      <c r="T88" s="200">
        <f t="shared" si="13"/>
        <v>56.98640003029041</v>
      </c>
      <c r="U88" s="200">
        <f t="shared" si="9"/>
        <v>462.7295682459581</v>
      </c>
      <c r="V88" s="200">
        <f t="shared" si="10"/>
        <v>435.3760962314187</v>
      </c>
      <c r="W88" s="200">
        <f t="shared" si="11"/>
        <v>309.43615216447694</v>
      </c>
      <c r="X88" s="200">
        <f t="shared" si="12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460.85167011373267</v>
      </c>
      <c r="G89" s="4">
        <v>150</v>
      </c>
      <c r="H89" s="13">
        <v>312.7471928278694</v>
      </c>
      <c r="I89" s="5">
        <v>357.1961353293634</v>
      </c>
      <c r="J89" s="6">
        <v>112.5</v>
      </c>
      <c r="K89" s="14">
        <v>250.19775426229555</v>
      </c>
      <c r="L89" s="7">
        <v>231.26272592535375</v>
      </c>
      <c r="M89" s="8">
        <v>75</v>
      </c>
      <c r="O89" s="15">
        <v>86</v>
      </c>
      <c r="P89" s="10">
        <v>264.87609200726484</v>
      </c>
      <c r="Q89" s="11">
        <v>133.4425682453348</v>
      </c>
      <c r="R89" s="13">
        <v>106.50383230654106</v>
      </c>
      <c r="S89" s="14">
        <v>72.48969157907999</v>
      </c>
      <c r="T89" s="200">
        <f t="shared" si="13"/>
        <v>57.59616810826324</v>
      </c>
      <c r="U89" s="200">
        <f t="shared" si="9"/>
        <v>467.68088503909746</v>
      </c>
      <c r="V89" s="200">
        <f t="shared" si="10"/>
        <v>440.03472434713115</v>
      </c>
      <c r="W89" s="200">
        <f t="shared" si="11"/>
        <v>312.7471928278694</v>
      </c>
      <c r="X89" s="200">
        <f t="shared" si="12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460.81420739705413</v>
      </c>
      <c r="G90" s="4">
        <v>150</v>
      </c>
      <c r="H90" s="13">
        <v>316.0547701796619</v>
      </c>
      <c r="I90" s="5">
        <v>357.1597544244898</v>
      </c>
      <c r="J90" s="6">
        <v>112.5</v>
      </c>
      <c r="K90" s="14">
        <v>252.84381614372953</v>
      </c>
      <c r="L90" s="7">
        <v>231.2350405185168</v>
      </c>
      <c r="M90" s="8">
        <v>75</v>
      </c>
      <c r="O90" s="15">
        <v>87</v>
      </c>
      <c r="P90" s="10">
        <v>267.6949392116214</v>
      </c>
      <c r="Q90" s="11">
        <v>134.85297979801592</v>
      </c>
      <c r="R90" s="13">
        <v>107.62755818701027</v>
      </c>
      <c r="S90" s="14">
        <v>73.25337483461237</v>
      </c>
      <c r="T90" s="200">
        <f t="shared" si="13"/>
        <v>58.20529837562834</v>
      </c>
      <c r="U90" s="200">
        <f t="shared" si="9"/>
        <v>472.62702281010206</v>
      </c>
      <c r="V90" s="200">
        <f t="shared" si="10"/>
        <v>444.68847958980047</v>
      </c>
      <c r="W90" s="200">
        <f t="shared" si="11"/>
        <v>316.0547701796619</v>
      </c>
      <c r="X90" s="200">
        <f t="shared" si="12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460.77608534848076</v>
      </c>
      <c r="G91" s="4">
        <v>150</v>
      </c>
      <c r="H91" s="13">
        <v>319.35892759025404</v>
      </c>
      <c r="I91" s="5">
        <v>357.1227333155888</v>
      </c>
      <c r="J91" s="6">
        <v>112.5</v>
      </c>
      <c r="K91" s="14">
        <v>255.48714207220326</v>
      </c>
      <c r="L91" s="7">
        <v>231.2068679829349</v>
      </c>
      <c r="M91" s="8">
        <v>75</v>
      </c>
      <c r="O91" s="15">
        <v>88</v>
      </c>
      <c r="P91" s="10">
        <v>270.51376300561725</v>
      </c>
      <c r="Q91" s="11">
        <v>136.26300257658585</v>
      </c>
      <c r="R91" s="13">
        <v>108.75089767427595</v>
      </c>
      <c r="S91" s="14">
        <v>74.01675009921931</v>
      </c>
      <c r="T91" s="200">
        <f t="shared" si="13"/>
        <v>58.813798819567964</v>
      </c>
      <c r="U91" s="200">
        <f t="shared" si="9"/>
        <v>477.5680464148918</v>
      </c>
      <c r="V91" s="200">
        <f t="shared" si="10"/>
        <v>449.33742298149923</v>
      </c>
      <c r="W91" s="200">
        <f t="shared" si="11"/>
        <v>319.35892759025404</v>
      </c>
      <c r="X91" s="200">
        <f t="shared" si="12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460.7373423489243</v>
      </c>
      <c r="G92" s="4">
        <v>150</v>
      </c>
      <c r="H92" s="13">
        <v>322.6597074004589</v>
      </c>
      <c r="I92" s="5">
        <v>357.0851092796587</v>
      </c>
      <c r="J92" s="6">
        <v>112.5</v>
      </c>
      <c r="K92" s="14">
        <v>258.12776592036715</v>
      </c>
      <c r="L92" s="7">
        <v>231.17823668885114</v>
      </c>
      <c r="M92" s="8">
        <v>75</v>
      </c>
      <c r="O92" s="15">
        <v>89</v>
      </c>
      <c r="P92" s="10">
        <v>273.3325644310363</v>
      </c>
      <c r="Q92" s="11">
        <v>137.6726418559011</v>
      </c>
      <c r="R92" s="13">
        <v>109.87385593724198</v>
      </c>
      <c r="S92" s="14">
        <v>74.77982145802095</v>
      </c>
      <c r="T92" s="200">
        <f t="shared" si="13"/>
        <v>59.421677237653576</v>
      </c>
      <c r="U92" s="200">
        <f t="shared" si="9"/>
        <v>482.504019169747</v>
      </c>
      <c r="V92" s="200">
        <f t="shared" si="10"/>
        <v>453.9816140956733</v>
      </c>
      <c r="W92" s="200">
        <f t="shared" si="11"/>
        <v>322.6597074004589</v>
      </c>
      <c r="X92" s="200">
        <f t="shared" si="12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460.69801480034926</v>
      </c>
      <c r="G93" s="4">
        <v>150</v>
      </c>
      <c r="H93" s="13">
        <v>325.9571509572348</v>
      </c>
      <c r="I93" s="5">
        <v>357.04691767162535</v>
      </c>
      <c r="J93" s="6">
        <v>112.5</v>
      </c>
      <c r="K93" s="14">
        <v>260.7657207657879</v>
      </c>
      <c r="L93" s="7">
        <v>231.14917354365372</v>
      </c>
      <c r="M93" s="8">
        <v>100</v>
      </c>
      <c r="O93" s="15">
        <v>90</v>
      </c>
      <c r="P93" s="10">
        <v>276.15134447239797</v>
      </c>
      <c r="Q93" s="11">
        <v>139.0819027719709</v>
      </c>
      <c r="R93" s="13">
        <v>110.99643801178877</v>
      </c>
      <c r="S93" s="14">
        <v>75.54259289246718</v>
      </c>
      <c r="T93" s="200">
        <f t="shared" si="13"/>
        <v>60.0289412444263</v>
      </c>
      <c r="U93" s="200">
        <f t="shared" si="9"/>
        <v>487.4350029047415</v>
      </c>
      <c r="V93" s="200">
        <f t="shared" si="10"/>
        <v>458.6211111074169</v>
      </c>
      <c r="W93" s="200">
        <f t="shared" si="11"/>
        <v>325.9571509572348</v>
      </c>
      <c r="X93" s="200">
        <f t="shared" si="12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460.6581372392009</v>
      </c>
      <c r="G94" s="4">
        <v>150</v>
      </c>
      <c r="H94" s="13">
        <v>329.2512986477911</v>
      </c>
      <c r="I94" s="5">
        <v>357.00819203449953</v>
      </c>
      <c r="J94" s="6">
        <v>112.5</v>
      </c>
      <c r="K94" s="14">
        <v>263.4010389182329</v>
      </c>
      <c r="L94" s="7">
        <v>231.1197040757143</v>
      </c>
      <c r="M94" s="8">
        <v>100</v>
      </c>
      <c r="O94" s="15">
        <v>91</v>
      </c>
      <c r="P94" s="10">
        <v>278.9701040606886</v>
      </c>
      <c r="Q94" s="11">
        <v>140.49079032746812</v>
      </c>
      <c r="R94" s="13">
        <v>112.11864880590497</v>
      </c>
      <c r="S94" s="14">
        <v>76.30506828426402</v>
      </c>
      <c r="T94" s="200">
        <f t="shared" si="13"/>
        <v>60.63559827767792</v>
      </c>
      <c r="U94" s="200">
        <f t="shared" si="9"/>
        <v>492.3610580147447</v>
      </c>
      <c r="V94" s="200">
        <f t="shared" si="10"/>
        <v>463.2559708414593</v>
      </c>
      <c r="W94" s="200">
        <f t="shared" si="11"/>
        <v>329.2512986477911</v>
      </c>
      <c r="X94" s="200">
        <f t="shared" si="12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460.61774244246163</v>
      </c>
      <c r="G95" s="4">
        <v>150</v>
      </c>
      <c r="H95" s="13">
        <v>332.54218993216773</v>
      </c>
      <c r="I95" s="5">
        <v>356.9689642023831</v>
      </c>
      <c r="J95" s="6">
        <v>125</v>
      </c>
      <c r="K95" s="14">
        <v>266.03375194573425</v>
      </c>
      <c r="L95" s="7">
        <v>231.08985251277616</v>
      </c>
      <c r="M95" s="8">
        <v>100</v>
      </c>
      <c r="O95" s="15">
        <v>92</v>
      </c>
      <c r="P95" s="10">
        <v>281.7888440768165</v>
      </c>
      <c r="Q95" s="11">
        <v>141.89930939694872</v>
      </c>
      <c r="R95" s="13">
        <v>113.24049310455538</v>
      </c>
      <c r="S95" s="14">
        <v>77.0672514191019</v>
      </c>
      <c r="T95" s="200">
        <f t="shared" si="13"/>
        <v>61.241655604450784</v>
      </c>
      <c r="U95" s="200">
        <f t="shared" si="9"/>
        <v>497.2822435081403</v>
      </c>
      <c r="V95" s="200">
        <f t="shared" si="10"/>
        <v>467.886248818004</v>
      </c>
      <c r="W95" s="200">
        <f t="shared" si="11"/>
        <v>332.54218993216773</v>
      </c>
      <c r="X95" s="200">
        <f t="shared" si="12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460.5768615268818</v>
      </c>
      <c r="G96" s="4">
        <v>150</v>
      </c>
      <c r="H96" s="13">
        <v>335.82986337435926</v>
      </c>
      <c r="I96" s="5">
        <v>356.9292643968431</v>
      </c>
      <c r="J96" s="6">
        <v>125</v>
      </c>
      <c r="K96" s="14">
        <v>268.66389069948747</v>
      </c>
      <c r="L96" s="7">
        <v>231.05964185530215</v>
      </c>
      <c r="M96" s="8">
        <v>100</v>
      </c>
      <c r="O96" s="15">
        <v>93</v>
      </c>
      <c r="P96" s="10">
        <v>284.6075653548061</v>
      </c>
      <c r="Q96" s="11">
        <v>143.30746473179497</v>
      </c>
      <c r="R96" s="13">
        <v>114.36197557429932</v>
      </c>
      <c r="S96" s="14">
        <v>77.82914599019725</v>
      </c>
      <c r="T96" s="200">
        <f t="shared" si="13"/>
        <v>61.84712032676967</v>
      </c>
      <c r="U96" s="200">
        <f t="shared" si="9"/>
        <v>502.1986170533697</v>
      </c>
      <c r="V96" s="200">
        <f t="shared" si="10"/>
        <v>472.51199929652023</v>
      </c>
      <c r="W96" s="200">
        <f t="shared" si="11"/>
        <v>335.82986337435926</v>
      </c>
      <c r="X96" s="200">
        <f t="shared" si="12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460.5355240418773</v>
      </c>
      <c r="G97" s="4">
        <v>150</v>
      </c>
      <c r="H97" s="13">
        <v>339.11435667207735</v>
      </c>
      <c r="I97" s="5">
        <v>356.889121317134</v>
      </c>
      <c r="J97" s="6">
        <v>125</v>
      </c>
      <c r="K97" s="14">
        <v>271.2914853376619</v>
      </c>
      <c r="L97" s="7">
        <v>231.02909394513844</v>
      </c>
      <c r="M97" s="8">
        <v>100</v>
      </c>
      <c r="O97" s="15">
        <v>94</v>
      </c>
      <c r="P97" s="10">
        <v>287.42626868475537</v>
      </c>
      <c r="Q97" s="11">
        <v>144.71526096490143</v>
      </c>
      <c r="R97" s="13">
        <v>115.48310076767595</v>
      </c>
      <c r="S97" s="14">
        <v>78.59075560165877</v>
      </c>
      <c r="T97" s="200">
        <f t="shared" si="13"/>
        <v>62.4519993871229</v>
      </c>
      <c r="U97" s="200">
        <f t="shared" si="9"/>
        <v>507.11023502343795</v>
      </c>
      <c r="V97" s="200">
        <f t="shared" si="10"/>
        <v>477.13327531761894</v>
      </c>
      <c r="W97" s="200">
        <f t="shared" si="11"/>
        <v>339.11435667207735</v>
      </c>
      <c r="X97" s="200">
        <f t="shared" si="12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460.4937580565436</v>
      </c>
      <c r="G98" s="4">
        <v>150</v>
      </c>
      <c r="H98" s="13">
        <v>342.39570668521515</v>
      </c>
      <c r="I98" s="5">
        <v>356.8485622247098</v>
      </c>
      <c r="J98" s="6">
        <v>125</v>
      </c>
      <c r="K98" s="14">
        <v>273.9165653481721</v>
      </c>
      <c r="L98" s="7">
        <v>230.99822952983263</v>
      </c>
      <c r="M98" s="8">
        <v>100</v>
      </c>
      <c r="O98" s="15">
        <v>95</v>
      </c>
      <c r="P98" s="10">
        <v>290.2449548155864</v>
      </c>
      <c r="Q98" s="11">
        <v>146.12270261512583</v>
      </c>
      <c r="R98" s="13">
        <v>116.60387312737517</v>
      </c>
      <c r="S98" s="14">
        <v>79.35208377169201</v>
      </c>
      <c r="T98" s="200">
        <f t="shared" si="13"/>
        <v>63.05629957370445</v>
      </c>
      <c r="U98" s="200">
        <f t="shared" si="9"/>
        <v>512.0171525384801</v>
      </c>
      <c r="V98" s="200">
        <f t="shared" si="10"/>
        <v>481.750128743102</v>
      </c>
      <c r="W98" s="200">
        <f t="shared" si="11"/>
        <v>342.39570668521515</v>
      </c>
      <c r="X98" s="200">
        <f t="shared" si="12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460.4515902412133</v>
      </c>
      <c r="G99" s="4">
        <v>150</v>
      </c>
      <c r="H99" s="13">
        <v>345.67394946308673</v>
      </c>
      <c r="I99" s="5">
        <v>356.80761302243593</v>
      </c>
      <c r="J99" s="6">
        <v>125</v>
      </c>
      <c r="K99" s="14">
        <v>276.5391595704694</v>
      </c>
      <c r="L99" s="7">
        <v>230.96706832291855</v>
      </c>
      <c r="M99" s="8">
        <v>100</v>
      </c>
      <c r="O99" s="15">
        <v>96</v>
      </c>
      <c r="P99" s="10">
        <v>293.0636244575855</v>
      </c>
      <c r="Q99" s="11">
        <v>147.5297940915096</v>
      </c>
      <c r="R99" s="13">
        <v>117.72429699020012</v>
      </c>
      <c r="S99" s="14">
        <v>80.11313393564753</v>
      </c>
      <c r="T99" s="200">
        <f t="shared" si="13"/>
        <v>63.66002752543034</v>
      </c>
      <c r="U99" s="200">
        <f t="shared" si="9"/>
        <v>516.9194235064942</v>
      </c>
      <c r="V99" s="200">
        <f t="shared" si="10"/>
        <v>486.3626102942878</v>
      </c>
      <c r="W99" s="200">
        <f t="shared" si="11"/>
        <v>345.67394946308673</v>
      </c>
      <c r="X99" s="200">
        <f t="shared" si="12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460.40904594393294</v>
      </c>
      <c r="G100" s="4">
        <v>150</v>
      </c>
      <c r="H100" s="13">
        <v>348.9491202705087</v>
      </c>
      <c r="I100" s="5">
        <v>356.7662983288663</v>
      </c>
      <c r="J100" s="6">
        <v>125</v>
      </c>
      <c r="K100" s="14">
        <v>279.159296216407</v>
      </c>
      <c r="L100" s="7">
        <v>230.93562906044775</v>
      </c>
      <c r="M100" s="8">
        <v>100</v>
      </c>
      <c r="O100" s="15">
        <v>97</v>
      </c>
      <c r="P100" s="10">
        <v>295.8822782847792</v>
      </c>
      <c r="Q100" s="11">
        <v>148.93653969729615</v>
      </c>
      <c r="R100" s="13">
        <v>118.84437659084357</v>
      </c>
      <c r="S100" s="14">
        <v>80.87390944892803</v>
      </c>
      <c r="T100" s="200">
        <f t="shared" si="13"/>
        <v>64.26318973674194</v>
      </c>
      <c r="U100" s="200">
        <f aca="true" t="shared" si="14" ref="U100:U108">+T100*$U$3</f>
        <v>521.8171006623445</v>
      </c>
      <c r="V100" s="200">
        <f aca="true" t="shared" si="15" ref="V100:V108">+T100*$V$3</f>
        <v>490.9707695887084</v>
      </c>
      <c r="W100" s="200">
        <f aca="true" t="shared" si="16" ref="W100:W108">+T100*$W$3</f>
        <v>348.9491202705087</v>
      </c>
      <c r="X100" s="200">
        <f aca="true" t="shared" si="17" ref="X100:X108">+T100*$X$3</f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460.36614926223007</v>
      </c>
      <c r="G101" s="4" t="s">
        <v>21</v>
      </c>
      <c r="H101" s="13">
        <v>352.2212536127804</v>
      </c>
      <c r="I101" s="5">
        <v>356.7246415479427</v>
      </c>
      <c r="J101" s="6">
        <v>125</v>
      </c>
      <c r="K101" s="14">
        <v>281.77700289022437</v>
      </c>
      <c r="L101" s="7">
        <v>230.90392955403524</v>
      </c>
      <c r="M101" s="8">
        <v>100</v>
      </c>
      <c r="O101" s="15">
        <v>98</v>
      </c>
      <c r="P101" s="10">
        <v>298.7009169371208</v>
      </c>
      <c r="Q101" s="11">
        <v>150.34294363374278</v>
      </c>
      <c r="R101" s="13">
        <v>119.96411606547751</v>
      </c>
      <c r="S101" s="14">
        <v>81.63441358975496</v>
      </c>
      <c r="T101" s="200">
        <f t="shared" si="13"/>
        <v>64.86579256220634</v>
      </c>
      <c r="U101" s="200">
        <f t="shared" si="14"/>
        <v>526.7102356051154</v>
      </c>
      <c r="V101" s="200">
        <f t="shared" si="15"/>
        <v>495.5746551752564</v>
      </c>
      <c r="W101" s="200">
        <f t="shared" si="16"/>
        <v>352.2212536127804</v>
      </c>
      <c r="X101" s="200">
        <f t="shared" si="17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460.32292311047144</v>
      </c>
      <c r="G102" s="4" t="s">
        <v>21</v>
      </c>
      <c r="H102" s="13">
        <v>355.49038325962164</v>
      </c>
      <c r="I102" s="5">
        <v>356.68266493442655</v>
      </c>
      <c r="J102" s="6">
        <v>125</v>
      </c>
      <c r="K102" s="14">
        <v>284.3923066076973</v>
      </c>
      <c r="L102" s="7">
        <v>230.87198674065576</v>
      </c>
      <c r="M102" s="8">
        <v>100</v>
      </c>
      <c r="O102" s="15">
        <v>99</v>
      </c>
      <c r="P102" s="10">
        <v>301.5195410225409</v>
      </c>
      <c r="Q102" s="11">
        <v>151.74901000375505</v>
      </c>
      <c r="R102" s="13">
        <v>121.08351945517907</v>
      </c>
      <c r="S102" s="14">
        <v>82.39464956181092</v>
      </c>
      <c r="T102" s="200">
        <f t="shared" si="13"/>
        <v>65.4678422209248</v>
      </c>
      <c r="U102" s="200">
        <f t="shared" si="14"/>
        <v>531.5988788339092</v>
      </c>
      <c r="V102" s="200">
        <f t="shared" si="15"/>
        <v>500.1743145678654</v>
      </c>
      <c r="W102" s="200">
        <f t="shared" si="16"/>
        <v>355.49038325962164</v>
      </c>
      <c r="X102" s="200">
        <f t="shared" si="17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460.27938928314825</v>
      </c>
      <c r="G103" s="4" t="s">
        <v>21</v>
      </c>
      <c r="H103" s="13">
        <v>358.75654226812475</v>
      </c>
      <c r="I103" s="5">
        <v>356.6403896553536</v>
      </c>
      <c r="J103" s="6">
        <v>125</v>
      </c>
      <c r="K103" s="14">
        <v>287.00523381449983</v>
      </c>
      <c r="L103" s="7">
        <v>230.83981672941962</v>
      </c>
      <c r="M103" s="8">
        <v>100</v>
      </c>
      <c r="O103" s="15">
        <v>100</v>
      </c>
      <c r="P103" s="10">
        <v>304.33815111884593</v>
      </c>
      <c r="Q103" s="11">
        <v>153.1547428153431</v>
      </c>
      <c r="R103" s="13">
        <v>122.20259070919369</v>
      </c>
      <c r="S103" s="14">
        <v>83.15462049675904</v>
      </c>
      <c r="T103" s="200">
        <f t="shared" si="13"/>
        <v>66.06934480075962</v>
      </c>
      <c r="U103" s="200">
        <f t="shared" si="14"/>
        <v>536.483079782168</v>
      </c>
      <c r="V103" s="200">
        <f t="shared" si="15"/>
        <v>504.7697942778035</v>
      </c>
      <c r="W103" s="200">
        <f t="shared" si="16"/>
        <v>358.75654226812475</v>
      </c>
      <c r="X103" s="200">
        <f t="shared" si="17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457.9896503652572</v>
      </c>
      <c r="G104" s="4" t="s">
        <v>21</v>
      </c>
      <c r="H104" s="13">
        <v>518.8512595213961</v>
      </c>
      <c r="I104" s="5">
        <v>354.41701103415926</v>
      </c>
      <c r="J104" s="6" t="s">
        <v>21</v>
      </c>
      <c r="K104" s="14">
        <v>415.0810076171169</v>
      </c>
      <c r="L104" s="7">
        <v>229.14801224904159</v>
      </c>
      <c r="M104" s="8">
        <v>125</v>
      </c>
      <c r="O104" s="15">
        <v>150</v>
      </c>
      <c r="P104" s="10">
        <v>445.2583491368972</v>
      </c>
      <c r="Q104" s="11">
        <v>223.08446813881667</v>
      </c>
      <c r="R104" s="13">
        <v>177.80028638785245</v>
      </c>
      <c r="S104" s="14">
        <v>120.86896832638504</v>
      </c>
      <c r="T104" s="200">
        <f t="shared" si="13"/>
        <v>95.5527181439035</v>
      </c>
      <c r="U104" s="200">
        <f t="shared" si="14"/>
        <v>775.8880713284964</v>
      </c>
      <c r="V104" s="200">
        <f t="shared" si="15"/>
        <v>730.0227666194228</v>
      </c>
      <c r="W104" s="200">
        <f t="shared" si="16"/>
        <v>518.8512595213961</v>
      </c>
      <c r="X104" s="200">
        <f t="shared" si="17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455.87794510605397</v>
      </c>
      <c r="G105" s="4" t="s">
        <v>21</v>
      </c>
      <c r="H105" s="13">
        <v>674.1198657805224</v>
      </c>
      <c r="I105" s="5">
        <v>352.36679486686927</v>
      </c>
      <c r="J105" s="6" t="s">
        <v>21</v>
      </c>
      <c r="K105" s="14">
        <v>539.295892624418</v>
      </c>
      <c r="L105" s="7">
        <v>227.58816103645478</v>
      </c>
      <c r="M105" s="8" t="s">
        <v>21</v>
      </c>
      <c r="O105" s="15">
        <v>200</v>
      </c>
      <c r="P105" s="10">
        <v>586.1704358213573</v>
      </c>
      <c r="Q105" s="11">
        <v>292.4858803972086</v>
      </c>
      <c r="R105" s="13">
        <v>232.870493949699</v>
      </c>
      <c r="S105" s="14">
        <v>158.16171498580658</v>
      </c>
      <c r="T105" s="200">
        <f t="shared" si="13"/>
        <v>124.14730493195626</v>
      </c>
      <c r="U105" s="200">
        <f t="shared" si="14"/>
        <v>1008.0761160474847</v>
      </c>
      <c r="V105" s="200">
        <f t="shared" si="15"/>
        <v>948.4854096801457</v>
      </c>
      <c r="W105" s="200">
        <f t="shared" si="16"/>
        <v>674.1198657805224</v>
      </c>
      <c r="X105" s="200">
        <f t="shared" si="17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454.0525054214532</v>
      </c>
      <c r="G106" s="4" t="s">
        <v>21</v>
      </c>
      <c r="H106" s="13">
        <v>825.8957618090687</v>
      </c>
      <c r="I106" s="5">
        <v>350.59473392885866</v>
      </c>
      <c r="J106" s="6" t="s">
        <v>21</v>
      </c>
      <c r="K106" s="14">
        <v>660.7166094472551</v>
      </c>
      <c r="L106" s="7">
        <v>226.24008616751732</v>
      </c>
      <c r="M106" s="8" t="s">
        <v>21</v>
      </c>
      <c r="O106" s="15">
        <v>250</v>
      </c>
      <c r="P106" s="10">
        <v>727.0801721993718</v>
      </c>
      <c r="Q106" s="11">
        <v>361.5107191071033</v>
      </c>
      <c r="R106" s="13">
        <v>287.5643669966442</v>
      </c>
      <c r="S106" s="14">
        <v>195.15350684199905</v>
      </c>
      <c r="T106" s="200">
        <f t="shared" si="13"/>
        <v>152.0986669998285</v>
      </c>
      <c r="U106" s="200">
        <f t="shared" si="14"/>
        <v>1235.0411760386073</v>
      </c>
      <c r="V106" s="200">
        <f t="shared" si="15"/>
        <v>1162.0338158786897</v>
      </c>
      <c r="W106" s="200">
        <f t="shared" si="16"/>
        <v>825.8957618090687</v>
      </c>
      <c r="X106" s="200">
        <f t="shared" si="17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452.4749162410842</v>
      </c>
      <c r="G107" s="4" t="s">
        <v>21</v>
      </c>
      <c r="H107" s="13">
        <v>974.9451235573889</v>
      </c>
      <c r="I107" s="5">
        <v>349.0634455935066</v>
      </c>
      <c r="J107" s="6" t="s">
        <v>21</v>
      </c>
      <c r="K107" s="14">
        <v>779.9560988459112</v>
      </c>
      <c r="L107" s="7">
        <v>225.07528907356536</v>
      </c>
      <c r="M107" s="8" t="s">
        <v>21</v>
      </c>
      <c r="O107" s="15">
        <v>300</v>
      </c>
      <c r="P107" s="10">
        <v>867.9889827830037</v>
      </c>
      <c r="Q107" s="11">
        <v>430.2445251544908</v>
      </c>
      <c r="R107" s="13">
        <v>341.96730153729777</v>
      </c>
      <c r="S107" s="14">
        <v>231.91259232891827</v>
      </c>
      <c r="T107" s="200">
        <f t="shared" si="13"/>
        <v>179.54790489086352</v>
      </c>
      <c r="U107" s="200">
        <f t="shared" si="14"/>
        <v>1457.9289877138117</v>
      </c>
      <c r="V107" s="200">
        <f t="shared" si="15"/>
        <v>1371.7459933661974</v>
      </c>
      <c r="W107" s="200">
        <f t="shared" si="16"/>
        <v>974.9451235573889</v>
      </c>
      <c r="X107" s="200">
        <f t="shared" si="17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451.0972103614712</v>
      </c>
      <c r="G108" s="4" t="s">
        <v>21</v>
      </c>
      <c r="H108" s="13">
        <v>1121.7646497801454</v>
      </c>
      <c r="I108" s="5">
        <v>347.7263037610104</v>
      </c>
      <c r="J108" s="6" t="s">
        <v>21</v>
      </c>
      <c r="K108" s="14">
        <v>897.4117198241164</v>
      </c>
      <c r="L108" s="7">
        <v>224.05825868453468</v>
      </c>
      <c r="M108" s="8" t="s">
        <v>21</v>
      </c>
      <c r="O108" s="15">
        <v>350</v>
      </c>
      <c r="P108" s="10">
        <v>1008.8973560951571</v>
      </c>
      <c r="Q108" s="11">
        <v>498.74213382933476</v>
      </c>
      <c r="R108" s="13">
        <v>396.1340831772995</v>
      </c>
      <c r="S108" s="14">
        <v>268.4827764832275</v>
      </c>
      <c r="T108" s="200">
        <f t="shared" si="13"/>
        <v>206.5864916722183</v>
      </c>
      <c r="U108" s="200">
        <f t="shared" si="14"/>
        <v>1677.4823123784124</v>
      </c>
      <c r="V108" s="200">
        <f t="shared" si="15"/>
        <v>1578.3207963757477</v>
      </c>
      <c r="W108" s="200">
        <f t="shared" si="16"/>
        <v>1121.7646497801454</v>
      </c>
      <c r="X108" s="200">
        <f t="shared" si="17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8"/>
  <sheetViews>
    <sheetView workbookViewId="0" topLeftCell="A1">
      <selection activeCell="B1" sqref="B1:D1"/>
    </sheetView>
  </sheetViews>
  <sheetFormatPr defaultColWidth="11.421875" defaultRowHeight="15"/>
  <cols>
    <col min="9" max="9" width="11.7109375" style="0" bestFit="1" customWidth="1"/>
    <col min="20" max="20" width="20.8515625" style="0" customWidth="1"/>
    <col min="21" max="21" width="15.57421875" style="0" customWidth="1"/>
  </cols>
  <sheetData>
    <row r="1" spans="1:13" ht="18">
      <c r="A1" s="322" t="s">
        <v>11</v>
      </c>
      <c r="B1" s="323" t="s">
        <v>12</v>
      </c>
      <c r="C1" s="323"/>
      <c r="D1" s="324"/>
      <c r="E1" s="325" t="s">
        <v>13</v>
      </c>
      <c r="F1" s="326"/>
      <c r="G1" s="326"/>
      <c r="H1" s="327" t="s">
        <v>14</v>
      </c>
      <c r="I1" s="328"/>
      <c r="J1" s="328"/>
      <c r="K1" s="329" t="s">
        <v>15</v>
      </c>
      <c r="L1" s="330"/>
      <c r="M1" s="330"/>
    </row>
    <row r="2" spans="1:23" ht="26.25" customHeight="1">
      <c r="A2" s="322"/>
      <c r="B2" s="331" t="s">
        <v>16</v>
      </c>
      <c r="C2" s="332"/>
      <c r="D2" s="333"/>
      <c r="E2" s="334" t="s">
        <v>17</v>
      </c>
      <c r="F2" s="335"/>
      <c r="G2" s="336"/>
      <c r="H2" s="337" t="s">
        <v>17</v>
      </c>
      <c r="I2" s="338"/>
      <c r="J2" s="339"/>
      <c r="K2" s="340" t="s">
        <v>17</v>
      </c>
      <c r="L2" s="341"/>
      <c r="M2" s="342"/>
      <c r="P2" s="321" t="s">
        <v>134</v>
      </c>
      <c r="Q2" s="321"/>
      <c r="R2" s="321"/>
      <c r="S2" s="321"/>
      <c r="U2" s="198" t="s">
        <v>131</v>
      </c>
      <c r="V2" s="203" t="s">
        <v>130</v>
      </c>
      <c r="W2" s="198" t="s">
        <v>132</v>
      </c>
    </row>
    <row r="3" spans="1:24" ht="38.25">
      <c r="A3" s="322"/>
      <c r="B3" s="1" t="s">
        <v>18</v>
      </c>
      <c r="C3" s="1" t="s">
        <v>19</v>
      </c>
      <c r="D3" s="2" t="s">
        <v>20</v>
      </c>
      <c r="E3" s="3" t="s">
        <v>18</v>
      </c>
      <c r="F3" s="3" t="s">
        <v>19</v>
      </c>
      <c r="G3" s="4" t="s">
        <v>20</v>
      </c>
      <c r="H3" s="5" t="s">
        <v>18</v>
      </c>
      <c r="I3" s="5" t="s">
        <v>19</v>
      </c>
      <c r="J3" s="6" t="s">
        <v>20</v>
      </c>
      <c r="K3" s="7" t="s">
        <v>18</v>
      </c>
      <c r="L3" s="7" t="s">
        <v>19</v>
      </c>
      <c r="M3" s="8" t="s">
        <v>20</v>
      </c>
      <c r="O3" s="198" t="s">
        <v>11</v>
      </c>
      <c r="P3" t="s">
        <v>73</v>
      </c>
      <c r="Q3" t="s">
        <v>76</v>
      </c>
      <c r="R3" t="s">
        <v>74</v>
      </c>
      <c r="S3" t="s">
        <v>75</v>
      </c>
      <c r="T3" s="201" t="s">
        <v>129</v>
      </c>
      <c r="U3" s="202">
        <v>8.12</v>
      </c>
      <c r="V3" s="202">
        <v>7.64</v>
      </c>
      <c r="W3" s="202">
        <v>5.43</v>
      </c>
      <c r="X3" s="202">
        <f>+W3*0.8</f>
        <v>4.344</v>
      </c>
    </row>
    <row r="4" spans="1:24" ht="15">
      <c r="A4" s="9">
        <v>1</v>
      </c>
      <c r="B4" s="10">
        <v>8.12</v>
      </c>
      <c r="C4" s="1">
        <v>999.9999999999998</v>
      </c>
      <c r="D4" s="2">
        <v>10</v>
      </c>
      <c r="E4" s="11">
        <v>7.64</v>
      </c>
      <c r="F4" s="12">
        <v>340.04934281824575</v>
      </c>
      <c r="G4" s="4">
        <v>5</v>
      </c>
      <c r="H4" s="13">
        <v>5.43</v>
      </c>
      <c r="I4" s="16">
        <v>238.3401979566633</v>
      </c>
      <c r="J4" s="6">
        <v>5</v>
      </c>
      <c r="K4" s="14">
        <v>4.344</v>
      </c>
      <c r="L4" s="17">
        <v>159.23859720105858</v>
      </c>
      <c r="M4" s="8">
        <v>5</v>
      </c>
      <c r="O4" s="193">
        <v>1</v>
      </c>
      <c r="P4" s="10">
        <v>8.908889039986956</v>
      </c>
      <c r="Q4" s="11">
        <v>3.4295581157762562</v>
      </c>
      <c r="R4" s="199">
        <v>2.504050923018408</v>
      </c>
      <c r="S4" s="14">
        <v>1.7524124640425989</v>
      </c>
      <c r="T4" s="200">
        <f>+POWER(A4,0.91)</f>
        <v>1</v>
      </c>
      <c r="U4" s="200">
        <f>+T4*$U$3</f>
        <v>8.12</v>
      </c>
      <c r="V4" s="200">
        <f>+T4*$V$3</f>
        <v>7.64</v>
      </c>
      <c r="W4" s="200">
        <f>+T4*$W$3</f>
        <v>5.43</v>
      </c>
      <c r="X4" s="197">
        <f>+T4*$X$3</f>
        <v>4.344</v>
      </c>
    </row>
    <row r="5" spans="1:24" ht="15">
      <c r="A5" s="9">
        <v>2</v>
      </c>
      <c r="B5" s="10">
        <v>15.25784944723555</v>
      </c>
      <c r="C5" s="1">
        <v>999.9999999999998</v>
      </c>
      <c r="D5" s="2">
        <v>25</v>
      </c>
      <c r="E5" s="11">
        <v>14.3559076079901</v>
      </c>
      <c r="F5" s="12">
        <v>335.91491898895254</v>
      </c>
      <c r="G5" s="4">
        <v>10</v>
      </c>
      <c r="H5" s="13">
        <v>10.203217056464167</v>
      </c>
      <c r="I5" s="16">
        <v>234.37237640852547</v>
      </c>
      <c r="J5" s="6">
        <v>5</v>
      </c>
      <c r="K5" s="14">
        <v>8.162573645171335</v>
      </c>
      <c r="L5" s="17">
        <v>156.20861684113848</v>
      </c>
      <c r="M5" s="8">
        <v>5</v>
      </c>
      <c r="O5" s="193">
        <v>2</v>
      </c>
      <c r="P5" s="10">
        <v>16.082077694815176</v>
      </c>
      <c r="Q5" s="11">
        <v>6.124280586489884</v>
      </c>
      <c r="R5" s="199">
        <v>4.45358084893161</v>
      </c>
      <c r="S5" s="14">
        <v>3.1100764831756944</v>
      </c>
      <c r="T5" s="200">
        <f aca="true" t="shared" si="0" ref="T5:T68">+POWER(A5,0.91)</f>
        <v>1.8790454984280236</v>
      </c>
      <c r="U5" s="200">
        <f aca="true" t="shared" si="1" ref="U5:U68">+T5*$U$3</f>
        <v>15.25784944723555</v>
      </c>
      <c r="V5" s="200">
        <f aca="true" t="shared" si="2" ref="V5:V68">+T5*$V$3</f>
        <v>14.3559076079901</v>
      </c>
      <c r="W5" s="200">
        <f aca="true" t="shared" si="3" ref="W5:W68">+T5*$W$3</f>
        <v>10.203217056464167</v>
      </c>
      <c r="X5" s="197">
        <f aca="true" t="shared" si="4" ref="X5:X68">+T5*$X$3</f>
        <v>8.162573645171335</v>
      </c>
    </row>
    <row r="6" spans="1:24" ht="15">
      <c r="A6" s="9">
        <v>3</v>
      </c>
      <c r="B6" s="10">
        <v>22.066648187754552</v>
      </c>
      <c r="C6" s="1">
        <v>999.9999999999998</v>
      </c>
      <c r="D6" s="2">
        <v>25</v>
      </c>
      <c r="E6" s="11">
        <v>20.762215782567093</v>
      </c>
      <c r="F6" s="12">
        <v>333.07145555545054</v>
      </c>
      <c r="G6" s="4">
        <v>10</v>
      </c>
      <c r="H6" s="13">
        <v>14.756391583683156</v>
      </c>
      <c r="I6" s="16">
        <v>231.64471334337654</v>
      </c>
      <c r="J6" s="6">
        <v>10</v>
      </c>
      <c r="K6" s="14">
        <v>11.805113266946526</v>
      </c>
      <c r="L6" s="17">
        <v>154.126165318499</v>
      </c>
      <c r="M6" s="8">
        <v>5</v>
      </c>
      <c r="O6" s="193">
        <v>3</v>
      </c>
      <c r="P6" s="10">
        <v>21.981602599249506</v>
      </c>
      <c r="Q6" s="11">
        <v>8.308162155241025</v>
      </c>
      <c r="R6" s="199">
        <v>6.02458546878363</v>
      </c>
      <c r="S6" s="14">
        <v>4.200780046397355</v>
      </c>
      <c r="T6" s="200">
        <f t="shared" si="0"/>
        <v>2.717567510807211</v>
      </c>
      <c r="U6" s="200">
        <f t="shared" si="1"/>
        <v>22.066648187754552</v>
      </c>
      <c r="V6" s="200">
        <f t="shared" si="2"/>
        <v>20.762215782567093</v>
      </c>
      <c r="W6" s="200">
        <f t="shared" si="3"/>
        <v>14.756391583683156</v>
      </c>
      <c r="X6" s="197">
        <f t="shared" si="4"/>
        <v>11.805113266946526</v>
      </c>
    </row>
    <row r="7" spans="1:24" ht="15">
      <c r="A7" s="9">
        <v>4</v>
      </c>
      <c r="B7" s="10">
        <v>28.670193319520468</v>
      </c>
      <c r="C7" s="1">
        <v>999.9999999999998</v>
      </c>
      <c r="D7" s="2">
        <v>37.5</v>
      </c>
      <c r="E7" s="11">
        <v>26.97540356664241</v>
      </c>
      <c r="F7" s="12">
        <v>328.50719730319554</v>
      </c>
      <c r="G7" s="4">
        <v>15</v>
      </c>
      <c r="H7" s="13">
        <v>19.172309079433024</v>
      </c>
      <c r="I7" s="16">
        <v>227.26846512005596</v>
      </c>
      <c r="J7" s="6">
        <v>10</v>
      </c>
      <c r="K7" s="14">
        <v>15.33784726354642</v>
      </c>
      <c r="L7" s="17">
        <v>150.78596322224692</v>
      </c>
      <c r="M7" s="8">
        <v>10</v>
      </c>
      <c r="O7" s="193">
        <v>4</v>
      </c>
      <c r="P7" s="10">
        <v>26.979045657097046</v>
      </c>
      <c r="Q7" s="11">
        <v>10.07323138354697</v>
      </c>
      <c r="R7" s="199">
        <v>7.270491255421831</v>
      </c>
      <c r="S7" s="14">
        <v>5.056802505903509</v>
      </c>
      <c r="T7" s="200">
        <f t="shared" si="0"/>
        <v>3.5308119851626194</v>
      </c>
      <c r="U7" s="200">
        <f t="shared" si="1"/>
        <v>28.670193319520468</v>
      </c>
      <c r="V7" s="200">
        <f t="shared" si="2"/>
        <v>26.97540356664241</v>
      </c>
      <c r="W7" s="200">
        <f t="shared" si="3"/>
        <v>19.172309079433024</v>
      </c>
      <c r="X7" s="197">
        <f t="shared" si="4"/>
        <v>15.33784726354642</v>
      </c>
    </row>
    <row r="8" spans="1:24" ht="15">
      <c r="A8" s="15">
        <v>5</v>
      </c>
      <c r="B8" s="10">
        <v>35.125194130605585</v>
      </c>
      <c r="C8" s="1">
        <v>999.9999999999998</v>
      </c>
      <c r="D8" s="2">
        <v>37.5</v>
      </c>
      <c r="E8" s="11">
        <v>33.04882797510181</v>
      </c>
      <c r="F8" s="12">
        <v>326.6812594466542</v>
      </c>
      <c r="G8" s="4">
        <v>15</v>
      </c>
      <c r="H8" s="13">
        <v>23.488892134136496</v>
      </c>
      <c r="I8" s="16">
        <v>225.51849107161704</v>
      </c>
      <c r="J8" s="6">
        <v>10</v>
      </c>
      <c r="K8" s="14">
        <v>18.791113707309197</v>
      </c>
      <c r="L8" s="17">
        <v>149.45059185074828</v>
      </c>
      <c r="M8" s="8">
        <v>10</v>
      </c>
      <c r="O8" s="15">
        <v>5</v>
      </c>
      <c r="P8" s="10">
        <v>31.350599840434633</v>
      </c>
      <c r="Q8" s="11">
        <v>11.647850572246078</v>
      </c>
      <c r="R8" s="199">
        <v>8.390967977866188</v>
      </c>
      <c r="S8" s="14">
        <v>5.830103510177247</v>
      </c>
      <c r="T8" s="200">
        <f t="shared" si="0"/>
        <v>4.325762823966206</v>
      </c>
      <c r="U8" s="200">
        <f t="shared" si="1"/>
        <v>35.125194130605585</v>
      </c>
      <c r="V8" s="200">
        <f t="shared" si="2"/>
        <v>33.04882797510181</v>
      </c>
      <c r="W8" s="200">
        <f t="shared" si="3"/>
        <v>23.488892134136496</v>
      </c>
      <c r="X8" s="197">
        <f t="shared" si="4"/>
        <v>18.791113707309197</v>
      </c>
    </row>
    <row r="9" spans="1:24" ht="15">
      <c r="A9" s="15">
        <v>6</v>
      </c>
      <c r="B9" s="10">
        <v>41.46423594259509</v>
      </c>
      <c r="C9" s="1">
        <v>999.9999999999998</v>
      </c>
      <c r="D9" s="2">
        <v>37.5</v>
      </c>
      <c r="E9" s="11">
        <v>39.013148103623955</v>
      </c>
      <c r="F9" s="12">
        <v>325.53427669248714</v>
      </c>
      <c r="G9" s="4">
        <v>15</v>
      </c>
      <c r="H9" s="13">
        <v>27.727931178361004</v>
      </c>
      <c r="I9" s="16">
        <v>224.41944871313876</v>
      </c>
      <c r="J9" s="6">
        <v>10</v>
      </c>
      <c r="K9" s="14">
        <v>22.182344942688804</v>
      </c>
      <c r="L9" s="17">
        <v>148.61202592186416</v>
      </c>
      <c r="M9" s="8">
        <v>10</v>
      </c>
      <c r="O9" s="15">
        <v>6</v>
      </c>
      <c r="P9" s="10">
        <v>35.29094141446951</v>
      </c>
      <c r="Q9" s="11">
        <v>13.071076132225999</v>
      </c>
      <c r="R9" s="199">
        <v>9.40484794466119</v>
      </c>
      <c r="S9" s="14">
        <v>6.530267828509703</v>
      </c>
      <c r="T9" s="200">
        <f t="shared" si="0"/>
        <v>5.106432997856539</v>
      </c>
      <c r="U9" s="200">
        <f t="shared" si="1"/>
        <v>41.46423594259509</v>
      </c>
      <c r="V9" s="200">
        <f t="shared" si="2"/>
        <v>39.013148103623955</v>
      </c>
      <c r="W9" s="200">
        <f t="shared" si="3"/>
        <v>27.727931178361004</v>
      </c>
      <c r="X9" s="197">
        <f t="shared" si="4"/>
        <v>22.182344942688804</v>
      </c>
    </row>
    <row r="10" spans="1:24" ht="15">
      <c r="A10" s="15">
        <v>7</v>
      </c>
      <c r="B10" s="10">
        <v>47.70844326173868</v>
      </c>
      <c r="C10" s="1">
        <v>999.9999999999998</v>
      </c>
      <c r="D10" s="2">
        <v>50</v>
      </c>
      <c r="E10" s="11">
        <v>44.888239719172844</v>
      </c>
      <c r="F10" s="12">
        <v>326.52485757273695</v>
      </c>
      <c r="G10" s="4">
        <v>15</v>
      </c>
      <c r="H10" s="13">
        <v>31.903552575275988</v>
      </c>
      <c r="I10" s="16">
        <v>225.36861614869875</v>
      </c>
      <c r="J10" s="6">
        <v>15</v>
      </c>
      <c r="K10" s="14">
        <v>25.522842060220796</v>
      </c>
      <c r="L10" s="17">
        <v>149.33623354132692</v>
      </c>
      <c r="M10" s="8">
        <v>10</v>
      </c>
      <c r="O10" s="15">
        <v>7</v>
      </c>
      <c r="P10" s="10">
        <v>38.933214735356096</v>
      </c>
      <c r="Q10" s="11">
        <v>14.458929668001094</v>
      </c>
      <c r="R10" s="199">
        <v>10.414320950457714</v>
      </c>
      <c r="S10" s="14">
        <v>7.2352986396401375</v>
      </c>
      <c r="T10" s="200">
        <f t="shared" si="0"/>
        <v>5.875424047012153</v>
      </c>
      <c r="U10" s="200">
        <f t="shared" si="1"/>
        <v>47.70844326173868</v>
      </c>
      <c r="V10" s="200">
        <f t="shared" si="2"/>
        <v>44.888239719172844</v>
      </c>
      <c r="W10" s="200">
        <f t="shared" si="3"/>
        <v>31.903552575275988</v>
      </c>
      <c r="X10" s="197">
        <f t="shared" si="4"/>
        <v>25.522842060220796</v>
      </c>
    </row>
    <row r="11" spans="1:24" ht="15">
      <c r="A11" s="15">
        <v>8</v>
      </c>
      <c r="B11" s="10">
        <v>53.872597696106126</v>
      </c>
      <c r="C11" s="1">
        <v>999.9999999999998</v>
      </c>
      <c r="D11" s="2">
        <v>50</v>
      </c>
      <c r="E11" s="11">
        <v>50.688010640178675</v>
      </c>
      <c r="F11" s="12">
        <v>327.43003830285465</v>
      </c>
      <c r="G11" s="4">
        <v>25</v>
      </c>
      <c r="H11" s="13">
        <v>36.02564107017935</v>
      </c>
      <c r="I11" s="16">
        <v>226.2360662601347</v>
      </c>
      <c r="J11" s="6">
        <v>15</v>
      </c>
      <c r="K11" s="14">
        <v>28.82051285614348</v>
      </c>
      <c r="L11" s="17">
        <v>149.998137945009</v>
      </c>
      <c r="M11" s="8">
        <v>10</v>
      </c>
      <c r="O11" s="15">
        <v>8</v>
      </c>
      <c r="P11" s="10">
        <v>42.36735462209556</v>
      </c>
      <c r="Q11" s="11">
        <v>15.772888640899689</v>
      </c>
      <c r="R11" s="199">
        <v>11.371521504674886</v>
      </c>
      <c r="S11" s="14">
        <v>7.9043714513824685</v>
      </c>
      <c r="T11" s="200">
        <f t="shared" si="0"/>
        <v>6.634556366515533</v>
      </c>
      <c r="U11" s="200">
        <f t="shared" si="1"/>
        <v>53.872597696106126</v>
      </c>
      <c r="V11" s="200">
        <f t="shared" si="2"/>
        <v>50.688010640178675</v>
      </c>
      <c r="W11" s="200">
        <f t="shared" si="3"/>
        <v>36.02564107017935</v>
      </c>
      <c r="X11" s="197">
        <f t="shared" si="4"/>
        <v>28.82051285614348</v>
      </c>
    </row>
    <row r="12" spans="1:24" ht="15">
      <c r="A12" s="15">
        <v>9</v>
      </c>
      <c r="B12" s="10">
        <v>59.967606187454585</v>
      </c>
      <c r="C12" s="1">
        <v>999.9999999999998</v>
      </c>
      <c r="D12" s="2">
        <v>50</v>
      </c>
      <c r="E12" s="11">
        <v>56.422723063073036</v>
      </c>
      <c r="F12" s="12">
        <v>328.25038801724054</v>
      </c>
      <c r="G12" s="4">
        <v>25</v>
      </c>
      <c r="H12" s="13">
        <v>40.10149034456631</v>
      </c>
      <c r="I12" s="16">
        <v>227.0223135916298</v>
      </c>
      <c r="J12" s="6">
        <v>15</v>
      </c>
      <c r="K12" s="14">
        <v>32.08119227565305</v>
      </c>
      <c r="L12" s="17">
        <v>150.5981189497413</v>
      </c>
      <c r="M12" s="8">
        <v>10</v>
      </c>
      <c r="O12" s="15">
        <v>9</v>
      </c>
      <c r="P12" s="10">
        <v>45.654097706133584</v>
      </c>
      <c r="Q12" s="11">
        <v>17.03418691939519</v>
      </c>
      <c r="R12" s="199">
        <v>12.291373801368287</v>
      </c>
      <c r="S12" s="14">
        <v>8.54771558932557</v>
      </c>
      <c r="T12" s="200">
        <f t="shared" si="0"/>
        <v>7.3851731757949</v>
      </c>
      <c r="U12" s="200">
        <f t="shared" si="1"/>
        <v>59.967606187454585</v>
      </c>
      <c r="V12" s="200">
        <f t="shared" si="2"/>
        <v>56.422723063073036</v>
      </c>
      <c r="W12" s="200">
        <f t="shared" si="3"/>
        <v>40.10149034456631</v>
      </c>
      <c r="X12" s="197">
        <f t="shared" si="4"/>
        <v>32.08119227565305</v>
      </c>
    </row>
    <row r="13" spans="1:24" ht="15">
      <c r="A13" s="15">
        <v>10</v>
      </c>
      <c r="B13" s="10">
        <v>66.00183791252486</v>
      </c>
      <c r="C13" s="1">
        <v>999.9999999999998</v>
      </c>
      <c r="D13" s="2">
        <v>50</v>
      </c>
      <c r="E13" s="11">
        <v>62.100251434937185</v>
      </c>
      <c r="F13" s="12">
        <v>328.99056814264276</v>
      </c>
      <c r="G13" s="4">
        <v>25</v>
      </c>
      <c r="H13" s="13">
        <v>44.13669702771059</v>
      </c>
      <c r="I13" s="16">
        <v>227.7317988738166</v>
      </c>
      <c r="J13" s="6">
        <v>15</v>
      </c>
      <c r="K13" s="14">
        <v>35.30935762216848</v>
      </c>
      <c r="L13" s="17">
        <v>151.1395541088964</v>
      </c>
      <c r="M13" s="8">
        <v>10</v>
      </c>
      <c r="O13" s="15">
        <v>10</v>
      </c>
      <c r="P13" s="10">
        <v>48.83477434909161</v>
      </c>
      <c r="Q13" s="11">
        <v>18.25729934116336</v>
      </c>
      <c r="R13" s="199">
        <v>13.18405903993979</v>
      </c>
      <c r="S13" s="14">
        <v>9.17231236360232</v>
      </c>
      <c r="T13" s="200">
        <f t="shared" si="0"/>
        <v>8.128305161640993</v>
      </c>
      <c r="U13" s="200">
        <f t="shared" si="1"/>
        <v>66.00183791252486</v>
      </c>
      <c r="V13" s="200">
        <f t="shared" si="2"/>
        <v>62.100251434937185</v>
      </c>
      <c r="W13" s="200">
        <f t="shared" si="3"/>
        <v>44.13669702771059</v>
      </c>
      <c r="X13" s="197">
        <f t="shared" si="4"/>
        <v>35.30935762216848</v>
      </c>
    </row>
    <row r="14" spans="1:24" ht="15">
      <c r="A14" s="15">
        <v>11</v>
      </c>
      <c r="B14" s="10">
        <v>71.9819110777576</v>
      </c>
      <c r="C14" s="1">
        <v>999.9999999999998</v>
      </c>
      <c r="D14" s="2">
        <v>75</v>
      </c>
      <c r="E14" s="11">
        <v>67.72682273818573</v>
      </c>
      <c r="F14" s="12">
        <v>329.6570238254512</v>
      </c>
      <c r="G14" s="4">
        <v>25</v>
      </c>
      <c r="H14" s="13">
        <v>48.13568684140687</v>
      </c>
      <c r="I14" s="16">
        <v>228.3706774703445</v>
      </c>
      <c r="J14" s="6">
        <v>15</v>
      </c>
      <c r="K14" s="14">
        <v>38.508549473125505</v>
      </c>
      <c r="L14" s="17">
        <v>151.62713151256557</v>
      </c>
      <c r="M14" s="8">
        <v>10</v>
      </c>
      <c r="O14" s="15">
        <v>11</v>
      </c>
      <c r="P14" s="10">
        <v>51.93785212581211</v>
      </c>
      <c r="Q14" s="11">
        <v>19.45221901309706</v>
      </c>
      <c r="R14" s="199">
        <v>14.056612950087551</v>
      </c>
      <c r="S14" s="14">
        <v>9.782988858183645</v>
      </c>
      <c r="T14" s="200">
        <f t="shared" si="0"/>
        <v>8.86476737410808</v>
      </c>
      <c r="U14" s="200">
        <f t="shared" si="1"/>
        <v>71.9819110777576</v>
      </c>
      <c r="V14" s="200">
        <f t="shared" si="2"/>
        <v>67.72682273818573</v>
      </c>
      <c r="W14" s="200">
        <f t="shared" si="3"/>
        <v>48.13568684140687</v>
      </c>
      <c r="X14" s="197">
        <f t="shared" si="4"/>
        <v>38.508549473125505</v>
      </c>
    </row>
    <row r="15" spans="1:24" ht="15">
      <c r="A15" s="15">
        <v>12</v>
      </c>
      <c r="B15" s="10">
        <v>77.91318589369075</v>
      </c>
      <c r="C15" s="1">
        <v>999.9999999999998</v>
      </c>
      <c r="D15" s="2">
        <v>75</v>
      </c>
      <c r="E15" s="11">
        <v>73.30748032362037</v>
      </c>
      <c r="F15" s="12">
        <v>330.2567331344702</v>
      </c>
      <c r="G15" s="4">
        <v>25</v>
      </c>
      <c r="H15" s="13">
        <v>52.10204426142128</v>
      </c>
      <c r="I15" s="16">
        <v>228.94562031762595</v>
      </c>
      <c r="J15" s="6">
        <v>15</v>
      </c>
      <c r="K15" s="14">
        <v>41.68163540913703</v>
      </c>
      <c r="L15" s="17">
        <v>152.06593467654145</v>
      </c>
      <c r="M15" s="8">
        <v>15</v>
      </c>
      <c r="O15" s="15">
        <v>12</v>
      </c>
      <c r="P15" s="10">
        <v>54.983224664121934</v>
      </c>
      <c r="Q15" s="11">
        <v>20.625949216976643</v>
      </c>
      <c r="R15" s="199">
        <v>14.913972147864998</v>
      </c>
      <c r="S15" s="14">
        <v>10.383134264162626</v>
      </c>
      <c r="T15" s="200">
        <f t="shared" si="0"/>
        <v>9.595219937646645</v>
      </c>
      <c r="U15" s="200">
        <f t="shared" si="1"/>
        <v>77.91318589369075</v>
      </c>
      <c r="V15" s="200">
        <f t="shared" si="2"/>
        <v>73.30748032362037</v>
      </c>
      <c r="W15" s="200">
        <f t="shared" si="3"/>
        <v>52.10204426142128</v>
      </c>
      <c r="X15" s="197">
        <f t="shared" si="4"/>
        <v>41.68163540913703</v>
      </c>
    </row>
    <row r="16" spans="1:24" ht="15">
      <c r="A16" s="15">
        <v>13</v>
      </c>
      <c r="B16" s="10">
        <v>83.80008899359817</v>
      </c>
      <c r="C16" s="1">
        <v>999.9999999999998</v>
      </c>
      <c r="D16" s="2">
        <v>75</v>
      </c>
      <c r="E16" s="11">
        <v>78.84638915161207</v>
      </c>
      <c r="F16" s="12">
        <v>330.7965525077234</v>
      </c>
      <c r="G16" s="4">
        <v>25</v>
      </c>
      <c r="H16" s="13">
        <v>56.03872946246774</v>
      </c>
      <c r="I16" s="16">
        <v>229.46318586208665</v>
      </c>
      <c r="J16" s="6">
        <v>25</v>
      </c>
      <c r="K16" s="14">
        <v>44.8309835699742</v>
      </c>
      <c r="L16" s="17">
        <v>152.46096296859253</v>
      </c>
      <c r="M16" s="8">
        <v>15</v>
      </c>
      <c r="O16" s="15">
        <v>13</v>
      </c>
      <c r="P16" s="10">
        <v>57.98501003746078</v>
      </c>
      <c r="Q16" s="11">
        <v>21.7834768938767</v>
      </c>
      <c r="R16" s="199">
        <v>15.759656906790571</v>
      </c>
      <c r="S16" s="14">
        <v>10.975167308367933</v>
      </c>
      <c r="T16" s="200">
        <f t="shared" si="0"/>
        <v>10.320208004137706</v>
      </c>
      <c r="U16" s="200">
        <f t="shared" si="1"/>
        <v>83.80008899359817</v>
      </c>
      <c r="V16" s="200">
        <f t="shared" si="2"/>
        <v>78.84638915161207</v>
      </c>
      <c r="W16" s="200">
        <f t="shared" si="3"/>
        <v>56.03872946246774</v>
      </c>
      <c r="X16" s="197">
        <f t="shared" si="4"/>
        <v>44.8309835699742</v>
      </c>
    </row>
    <row r="17" spans="1:24" ht="15">
      <c r="A17" s="15">
        <v>14</v>
      </c>
      <c r="B17" s="10">
        <v>89.64633554797884</v>
      </c>
      <c r="C17" s="1">
        <v>999.9999999999998</v>
      </c>
      <c r="D17" s="2">
        <v>75</v>
      </c>
      <c r="E17" s="11">
        <v>84.34704477666975</v>
      </c>
      <c r="F17" s="12">
        <v>331.2828974130069</v>
      </c>
      <c r="G17" s="4">
        <v>25</v>
      </c>
      <c r="H17" s="13">
        <v>59.948226850434125</v>
      </c>
      <c r="I17" s="16">
        <v>229.92951319761</v>
      </c>
      <c r="J17" s="6">
        <v>25</v>
      </c>
      <c r="K17" s="14">
        <v>47.958581480347306</v>
      </c>
      <c r="L17" s="17">
        <v>152.81689711036552</v>
      </c>
      <c r="M17" s="8">
        <v>15</v>
      </c>
      <c r="O17" s="15">
        <v>14</v>
      </c>
      <c r="P17" s="10">
        <v>60.953384356132815</v>
      </c>
      <c r="Q17" s="11">
        <v>22.928410751131302</v>
      </c>
      <c r="R17" s="199">
        <v>16.596218780692613</v>
      </c>
      <c r="S17" s="14">
        <v>11.560842727186046</v>
      </c>
      <c r="T17" s="200">
        <f t="shared" si="0"/>
        <v>11.040189106893946</v>
      </c>
      <c r="U17" s="200">
        <f t="shared" si="1"/>
        <v>89.64633554797884</v>
      </c>
      <c r="V17" s="200">
        <f t="shared" si="2"/>
        <v>84.34704477666975</v>
      </c>
      <c r="W17" s="200">
        <f t="shared" si="3"/>
        <v>59.948226850434125</v>
      </c>
      <c r="X17" s="197">
        <f t="shared" si="4"/>
        <v>47.958581480347306</v>
      </c>
    </row>
    <row r="18" spans="1:24" ht="15">
      <c r="A18" s="15">
        <v>15</v>
      </c>
      <c r="B18" s="10">
        <v>95.45508638012986</v>
      </c>
      <c r="C18" s="1">
        <v>999.9999999999998</v>
      </c>
      <c r="D18" s="2">
        <v>75</v>
      </c>
      <c r="E18" s="11">
        <v>89.81242117539311</v>
      </c>
      <c r="F18" s="12">
        <v>331.7216089102845</v>
      </c>
      <c r="G18" s="4">
        <v>25</v>
      </c>
      <c r="H18" s="13">
        <v>63.832650128584376</v>
      </c>
      <c r="I18" s="16">
        <v>230.3501934514836</v>
      </c>
      <c r="J18" s="6">
        <v>25</v>
      </c>
      <c r="K18" s="14">
        <v>51.06612010286751</v>
      </c>
      <c r="L18" s="17">
        <v>153.13800073196197</v>
      </c>
      <c r="M18" s="8">
        <v>15</v>
      </c>
      <c r="O18" s="15">
        <v>15</v>
      </c>
      <c r="P18" s="10">
        <v>63.89579433640222</v>
      </c>
      <c r="Q18" s="11">
        <v>24.063403525128443</v>
      </c>
      <c r="R18" s="199">
        <v>17.425536897775878</v>
      </c>
      <c r="S18" s="14">
        <v>12.141454162135274</v>
      </c>
      <c r="T18" s="200">
        <f t="shared" si="0"/>
        <v>11.75555250986821</v>
      </c>
      <c r="U18" s="200">
        <f t="shared" si="1"/>
        <v>95.45508638012986</v>
      </c>
      <c r="V18" s="200">
        <f t="shared" si="2"/>
        <v>89.81242117539311</v>
      </c>
      <c r="W18" s="200">
        <f t="shared" si="3"/>
        <v>63.832650128584376</v>
      </c>
      <c r="X18" s="197">
        <f t="shared" si="4"/>
        <v>51.06612010286751</v>
      </c>
    </row>
    <row r="19" spans="1:24" ht="15">
      <c r="A19" s="15">
        <v>16</v>
      </c>
      <c r="B19" s="10">
        <v>101.22906218949214</v>
      </c>
      <c r="C19" s="1">
        <v>999.9999999999998</v>
      </c>
      <c r="D19" s="2">
        <v>75</v>
      </c>
      <c r="E19" s="11">
        <v>95.2450782176995</v>
      </c>
      <c r="F19" s="12">
        <v>332.11792076496545</v>
      </c>
      <c r="G19" s="4">
        <v>37.5</v>
      </c>
      <c r="H19" s="13">
        <v>67.69381868090423</v>
      </c>
      <c r="I19" s="16">
        <v>230.73023766300898</v>
      </c>
      <c r="J19" s="6">
        <v>25</v>
      </c>
      <c r="K19" s="14">
        <v>54.15505494472339</v>
      </c>
      <c r="L19" s="17">
        <v>153.42809561071496</v>
      </c>
      <c r="M19" s="8">
        <v>15</v>
      </c>
      <c r="O19" s="15">
        <v>16</v>
      </c>
      <c r="P19" s="10">
        <v>66.81776886921803</v>
      </c>
      <c r="Q19" s="11">
        <v>25.190434848715604</v>
      </c>
      <c r="R19" s="199">
        <v>18.249016517549222</v>
      </c>
      <c r="S19" s="14">
        <v>12.717970155826798</v>
      </c>
      <c r="T19" s="200">
        <f t="shared" si="0"/>
        <v>12.466633274567998</v>
      </c>
      <c r="U19" s="200">
        <f t="shared" si="1"/>
        <v>101.22906218949214</v>
      </c>
      <c r="V19" s="200">
        <f t="shared" si="2"/>
        <v>95.2450782176995</v>
      </c>
      <c r="W19" s="200">
        <f t="shared" si="3"/>
        <v>67.69381868090423</v>
      </c>
      <c r="X19" s="197">
        <f t="shared" si="4"/>
        <v>54.15505494472339</v>
      </c>
    </row>
    <row r="20" spans="1:24" ht="15">
      <c r="A20" s="15">
        <v>17</v>
      </c>
      <c r="B20" s="10">
        <v>106.97062855186557</v>
      </c>
      <c r="C20" s="1">
        <v>999.9999999999998</v>
      </c>
      <c r="D20" s="2">
        <v>75</v>
      </c>
      <c r="E20" s="11">
        <v>100.6472416423957</v>
      </c>
      <c r="F20" s="12">
        <v>332.476478607115</v>
      </c>
      <c r="G20" s="4">
        <v>37.5</v>
      </c>
      <c r="H20" s="13">
        <v>71.5333144133781</v>
      </c>
      <c r="I20" s="16">
        <v>231.07409466755468</v>
      </c>
      <c r="J20" s="6">
        <v>25</v>
      </c>
      <c r="K20" s="14">
        <v>57.22665153070248</v>
      </c>
      <c r="L20" s="17">
        <v>153.6905751202322</v>
      </c>
      <c r="M20" s="8">
        <v>15</v>
      </c>
      <c r="O20" s="15">
        <v>17</v>
      </c>
      <c r="P20" s="10">
        <v>69.72346952371765</v>
      </c>
      <c r="Q20" s="11">
        <v>26.311003332543713</v>
      </c>
      <c r="R20" s="199">
        <v>19.06772392266481</v>
      </c>
      <c r="S20" s="14">
        <v>13.29112656610236</v>
      </c>
      <c r="T20" s="200">
        <f t="shared" si="0"/>
        <v>13.173722728062264</v>
      </c>
      <c r="U20" s="200">
        <f t="shared" si="1"/>
        <v>106.97062855186557</v>
      </c>
      <c r="V20" s="200">
        <f t="shared" si="2"/>
        <v>100.6472416423957</v>
      </c>
      <c r="W20" s="200">
        <f t="shared" si="3"/>
        <v>71.5333144133781</v>
      </c>
      <c r="X20" s="197">
        <f t="shared" si="4"/>
        <v>57.22665153070248</v>
      </c>
    </row>
    <row r="21" spans="1:24" ht="15">
      <c r="A21" s="15">
        <v>18</v>
      </c>
      <c r="B21" s="10">
        <v>112.68186045804097</v>
      </c>
      <c r="C21" s="1">
        <v>999.9999999999998</v>
      </c>
      <c r="D21" s="2">
        <v>75</v>
      </c>
      <c r="E21" s="11">
        <v>106.02086378071836</v>
      </c>
      <c r="F21" s="12">
        <v>332.80138385306486</v>
      </c>
      <c r="G21" s="4">
        <v>37.5</v>
      </c>
      <c r="H21" s="13">
        <v>75.35252491221213</v>
      </c>
      <c r="I21" s="16">
        <v>231.38569282104416</v>
      </c>
      <c r="J21" s="6">
        <v>25</v>
      </c>
      <c r="K21" s="14">
        <v>60.28201992976971</v>
      </c>
      <c r="L21" s="17">
        <v>153.92843591663097</v>
      </c>
      <c r="M21" s="8">
        <v>15</v>
      </c>
      <c r="O21" s="15">
        <v>18</v>
      </c>
      <c r="P21" s="10">
        <v>72.61606919952668</v>
      </c>
      <c r="Q21" s="11">
        <v>27.426258851290825</v>
      </c>
      <c r="R21" s="199">
        <v>19.882479368539293</v>
      </c>
      <c r="S21" s="14">
        <v>13.86149026483932</v>
      </c>
      <c r="T21" s="200">
        <f t="shared" si="0"/>
        <v>13.87707641108879</v>
      </c>
      <c r="U21" s="200">
        <f t="shared" si="1"/>
        <v>112.68186045804097</v>
      </c>
      <c r="V21" s="200">
        <f t="shared" si="2"/>
        <v>106.02086378071836</v>
      </c>
      <c r="W21" s="200">
        <f t="shared" si="3"/>
        <v>75.35252491221213</v>
      </c>
      <c r="X21" s="197">
        <f t="shared" si="4"/>
        <v>60.28201992976971</v>
      </c>
    </row>
    <row r="22" spans="1:24" ht="15">
      <c r="A22" s="15">
        <v>19</v>
      </c>
      <c r="B22" s="10">
        <v>118.36459218284688</v>
      </c>
      <c r="C22" s="1">
        <v>999.9999999999998</v>
      </c>
      <c r="D22" s="2">
        <v>100</v>
      </c>
      <c r="E22" s="11">
        <v>111.36767047745693</v>
      </c>
      <c r="F22" s="12">
        <v>333.09624730089246</v>
      </c>
      <c r="G22" s="4">
        <v>37.5</v>
      </c>
      <c r="H22" s="13">
        <v>79.15267679222396</v>
      </c>
      <c r="I22" s="16">
        <v>231.66849108376323</v>
      </c>
      <c r="J22" s="6">
        <v>25</v>
      </c>
      <c r="K22" s="14">
        <v>63.32214143377918</v>
      </c>
      <c r="L22" s="17">
        <v>154.14431680317287</v>
      </c>
      <c r="M22" s="8">
        <v>15</v>
      </c>
      <c r="O22" s="15">
        <v>19</v>
      </c>
      <c r="P22" s="10">
        <v>75.49801622774234</v>
      </c>
      <c r="Q22" s="11">
        <v>28.53709494375544</v>
      </c>
      <c r="R22" s="199">
        <v>20.693922047101367</v>
      </c>
      <c r="S22" s="14">
        <v>14.429503673229874</v>
      </c>
      <c r="T22" s="200">
        <f t="shared" si="0"/>
        <v>14.576920219562425</v>
      </c>
      <c r="U22" s="200">
        <f t="shared" si="1"/>
        <v>118.36459218284688</v>
      </c>
      <c r="V22" s="200">
        <f t="shared" si="2"/>
        <v>111.36767047745693</v>
      </c>
      <c r="W22" s="200">
        <f t="shared" si="3"/>
        <v>79.15267679222396</v>
      </c>
      <c r="X22" s="197">
        <f t="shared" si="4"/>
        <v>63.32214143377918</v>
      </c>
    </row>
    <row r="23" spans="1:24" ht="15">
      <c r="A23" s="15">
        <v>20</v>
      </c>
      <c r="B23" s="10">
        <v>124.0204564175059</v>
      </c>
      <c r="C23" s="1">
        <v>999.9999999999998</v>
      </c>
      <c r="D23" s="2">
        <v>100</v>
      </c>
      <c r="E23" s="11">
        <v>116.68919791006712</v>
      </c>
      <c r="F23" s="12">
        <v>333.36424429242834</v>
      </c>
      <c r="G23" s="4">
        <v>37.5</v>
      </c>
      <c r="H23" s="13">
        <v>82.93486186540112</v>
      </c>
      <c r="I23" s="16">
        <v>231.92553167445874</v>
      </c>
      <c r="J23" s="6">
        <v>25</v>
      </c>
      <c r="K23" s="14">
        <v>66.3478894923209</v>
      </c>
      <c r="L23" s="17">
        <v>154.3405388217182</v>
      </c>
      <c r="M23" s="8">
        <v>15</v>
      </c>
      <c r="O23" s="15">
        <v>20</v>
      </c>
      <c r="P23" s="10">
        <v>78.37122110173472</v>
      </c>
      <c r="Q23" s="11">
        <v>29.644214250230092</v>
      </c>
      <c r="R23" s="199">
        <v>21.502556125484006</v>
      </c>
      <c r="S23" s="14">
        <v>14.995516335360499</v>
      </c>
      <c r="T23" s="200">
        <f t="shared" si="0"/>
        <v>15.273455223830776</v>
      </c>
      <c r="U23" s="200">
        <f t="shared" si="1"/>
        <v>124.0204564175059</v>
      </c>
      <c r="V23" s="200">
        <f t="shared" si="2"/>
        <v>116.68919791006712</v>
      </c>
      <c r="W23" s="200">
        <f t="shared" si="3"/>
        <v>82.93486186540112</v>
      </c>
      <c r="X23" s="197">
        <f t="shared" si="4"/>
        <v>66.3478894923209</v>
      </c>
    </row>
    <row r="24" spans="1:24" ht="15">
      <c r="A24" s="15">
        <v>21</v>
      </c>
      <c r="B24" s="10">
        <v>129.65091539929023</v>
      </c>
      <c r="C24" s="1">
        <v>999.9999999999998</v>
      </c>
      <c r="D24" s="2">
        <v>100</v>
      </c>
      <c r="E24" s="11">
        <v>121.98682187814994</v>
      </c>
      <c r="F24" s="12">
        <v>333.60816730523374</v>
      </c>
      <c r="G24" s="4">
        <v>37.5</v>
      </c>
      <c r="H24" s="13">
        <v>86.70005795789976</v>
      </c>
      <c r="I24" s="16">
        <v>232.15949031429994</v>
      </c>
      <c r="J24" s="6">
        <v>25</v>
      </c>
      <c r="K24" s="14">
        <v>69.3600463663198</v>
      </c>
      <c r="L24" s="17">
        <v>154.51914352696383</v>
      </c>
      <c r="M24" s="8">
        <v>25</v>
      </c>
      <c r="O24" s="15">
        <v>21</v>
      </c>
      <c r="P24" s="10">
        <v>81.23719024998225</v>
      </c>
      <c r="Q24" s="11">
        <v>30.748175476512763</v>
      </c>
      <c r="R24" s="199">
        <v>22.308783812936007</v>
      </c>
      <c r="S24" s="14">
        <v>15.559807605389468</v>
      </c>
      <c r="T24" s="200">
        <f t="shared" si="0"/>
        <v>15.966861502375647</v>
      </c>
      <c r="U24" s="200">
        <f t="shared" si="1"/>
        <v>129.65091539929023</v>
      </c>
      <c r="V24" s="200">
        <f t="shared" si="2"/>
        <v>121.98682187814994</v>
      </c>
      <c r="W24" s="200">
        <f t="shared" si="3"/>
        <v>86.70005795789976</v>
      </c>
      <c r="X24" s="197">
        <f t="shared" si="4"/>
        <v>69.3600463663198</v>
      </c>
    </row>
    <row r="25" spans="1:24" ht="15">
      <c r="A25" s="15">
        <v>22</v>
      </c>
      <c r="B25" s="10">
        <v>135.25728597890676</v>
      </c>
      <c r="C25" s="1">
        <v>999.9999999999998</v>
      </c>
      <c r="D25" s="2">
        <v>100</v>
      </c>
      <c r="E25" s="11">
        <v>127.26178138902065</v>
      </c>
      <c r="F25" s="12">
        <v>333.83047407135075</v>
      </c>
      <c r="G25" s="4">
        <v>37.5</v>
      </c>
      <c r="H25" s="13">
        <v>90.44914567308666</v>
      </c>
      <c r="I25" s="16">
        <v>232.3727222239324</v>
      </c>
      <c r="J25" s="6">
        <v>25</v>
      </c>
      <c r="K25" s="14">
        <v>72.35931653846934</v>
      </c>
      <c r="L25" s="17">
        <v>154.6819280365746</v>
      </c>
      <c r="M25" s="8">
        <v>25</v>
      </c>
      <c r="O25" s="15">
        <v>22</v>
      </c>
      <c r="P25" s="10">
        <v>84.0971230811884</v>
      </c>
      <c r="Q25" s="11">
        <v>31.849427532017888</v>
      </c>
      <c r="R25" s="199">
        <v>23.112929417321887</v>
      </c>
      <c r="S25" s="14">
        <v>16.122603160457842</v>
      </c>
      <c r="T25" s="200">
        <f t="shared" si="0"/>
        <v>16.657301228929406</v>
      </c>
      <c r="U25" s="200">
        <f t="shared" si="1"/>
        <v>135.25728597890676</v>
      </c>
      <c r="V25" s="200">
        <f t="shared" si="2"/>
        <v>127.26178138902065</v>
      </c>
      <c r="W25" s="200">
        <f t="shared" si="3"/>
        <v>90.44914567308666</v>
      </c>
      <c r="X25" s="197">
        <f t="shared" si="4"/>
        <v>72.35931653846934</v>
      </c>
    </row>
    <row r="26" spans="1:24" ht="15">
      <c r="A26" s="15">
        <v>23</v>
      </c>
      <c r="B26" s="10">
        <v>140.84076002852834</v>
      </c>
      <c r="C26" s="1">
        <v>999.9999999999998</v>
      </c>
      <c r="D26" s="2">
        <v>100</v>
      </c>
      <c r="E26" s="11">
        <v>132.51519785935423</v>
      </c>
      <c r="F26" s="12">
        <v>334.03333055173954</v>
      </c>
      <c r="G26" s="4">
        <v>37.5</v>
      </c>
      <c r="H26" s="13">
        <v>94.18292203878188</v>
      </c>
      <c r="I26" s="16">
        <v>232.56730322058178</v>
      </c>
      <c r="J26" s="6">
        <v>25</v>
      </c>
      <c r="K26" s="14">
        <v>75.3463376310255</v>
      </c>
      <c r="L26" s="17">
        <v>154.83047635477251</v>
      </c>
      <c r="M26" s="8">
        <v>25</v>
      </c>
      <c r="O26" s="15">
        <v>23</v>
      </c>
      <c r="P26" s="10">
        <v>86.95198323054848</v>
      </c>
      <c r="Q26" s="11">
        <v>32.94833464744873</v>
      </c>
      <c r="R26" s="199">
        <v>23.91525706131794</v>
      </c>
      <c r="S26" s="14">
        <v>16.684087167719607</v>
      </c>
      <c r="T26" s="200">
        <f t="shared" si="0"/>
        <v>17.344921185779352</v>
      </c>
      <c r="U26" s="200">
        <f t="shared" si="1"/>
        <v>140.84076002852834</v>
      </c>
      <c r="V26" s="200">
        <f t="shared" si="2"/>
        <v>132.51519785935423</v>
      </c>
      <c r="W26" s="200">
        <f t="shared" si="3"/>
        <v>94.18292203878188</v>
      </c>
      <c r="X26" s="197">
        <f t="shared" si="4"/>
        <v>75.3463376310255</v>
      </c>
    </row>
    <row r="27" spans="1:24" ht="15">
      <c r="A27" s="15">
        <v>24</v>
      </c>
      <c r="B27" s="10">
        <v>146.40242122172543</v>
      </c>
      <c r="C27" s="1">
        <v>999.9999999999998</v>
      </c>
      <c r="D27" s="2">
        <v>100</v>
      </c>
      <c r="E27" s="11">
        <v>137.7480909031998</v>
      </c>
      <c r="F27" s="12">
        <v>334.2186487523811</v>
      </c>
      <c r="G27" s="4">
        <v>37.5</v>
      </c>
      <c r="H27" s="13">
        <v>97.90211172832133</v>
      </c>
      <c r="I27" s="16">
        <v>232.74506589420142</v>
      </c>
      <c r="J27" s="6">
        <v>25</v>
      </c>
      <c r="K27" s="14">
        <v>78.32168938265707</v>
      </c>
      <c r="L27" s="17">
        <v>154.96618695024594</v>
      </c>
      <c r="M27" s="8">
        <v>25</v>
      </c>
      <c r="O27" s="15">
        <v>24</v>
      </c>
      <c r="P27" s="10">
        <v>89.80255145998397</v>
      </c>
      <c r="Q27" s="11">
        <v>34.04519506918679</v>
      </c>
      <c r="R27" s="199">
        <v>24.71598388121765</v>
      </c>
      <c r="S27" s="14">
        <v>17.244411353988795</v>
      </c>
      <c r="T27" s="200">
        <f t="shared" si="0"/>
        <v>18.029854830261755</v>
      </c>
      <c r="U27" s="200">
        <f t="shared" si="1"/>
        <v>146.40242122172543</v>
      </c>
      <c r="V27" s="200">
        <f t="shared" si="2"/>
        <v>137.7480909031998</v>
      </c>
      <c r="W27" s="200">
        <f t="shared" si="3"/>
        <v>97.90211172832133</v>
      </c>
      <c r="X27" s="197">
        <f t="shared" si="4"/>
        <v>78.32168938265707</v>
      </c>
    </row>
    <row r="28" spans="1:24" ht="15">
      <c r="A28" s="15">
        <v>25</v>
      </c>
      <c r="B28" s="10">
        <v>151.9432589547696</v>
      </c>
      <c r="C28" s="1">
        <v>999.9999999999998</v>
      </c>
      <c r="D28" s="2">
        <v>100</v>
      </c>
      <c r="E28" s="11">
        <v>142.96139143034972</v>
      </c>
      <c r="F28" s="12">
        <v>334.38811969714504</v>
      </c>
      <c r="G28" s="4">
        <v>37.5</v>
      </c>
      <c r="H28" s="13">
        <v>101.60737636999986</v>
      </c>
      <c r="I28" s="16">
        <v>232.90763115898105</v>
      </c>
      <c r="J28" s="6">
        <v>37.5</v>
      </c>
      <c r="K28" s="14">
        <v>81.2859010959999</v>
      </c>
      <c r="L28" s="17">
        <v>155.09029681212013</v>
      </c>
      <c r="M28" s="8">
        <v>25</v>
      </c>
      <c r="O28" s="15">
        <v>25</v>
      </c>
      <c r="P28" s="10">
        <v>92.64946535798681</v>
      </c>
      <c r="Q28" s="11">
        <v>35.140255125141074</v>
      </c>
      <c r="R28" s="199">
        <v>25.51528996853033</v>
      </c>
      <c r="S28" s="14">
        <v>17.803701841275974</v>
      </c>
      <c r="T28" s="200">
        <f t="shared" si="0"/>
        <v>18.71222400920808</v>
      </c>
      <c r="U28" s="200">
        <f t="shared" si="1"/>
        <v>151.9432589547696</v>
      </c>
      <c r="V28" s="200">
        <f t="shared" si="2"/>
        <v>142.96139143034972</v>
      </c>
      <c r="W28" s="200">
        <f t="shared" si="3"/>
        <v>101.60737636999986</v>
      </c>
      <c r="X28" s="197">
        <f t="shared" si="4"/>
        <v>81.2859010959999</v>
      </c>
    </row>
    <row r="29" spans="1:24" ht="15">
      <c r="A29" s="15">
        <v>26</v>
      </c>
      <c r="B29" s="10">
        <v>157.46417999128838</v>
      </c>
      <c r="C29" s="1">
        <v>999.9999999999998</v>
      </c>
      <c r="D29" s="2">
        <v>100</v>
      </c>
      <c r="E29" s="11">
        <v>148.15595260264078</v>
      </c>
      <c r="F29" s="12">
        <v>334.5432420171485</v>
      </c>
      <c r="G29" s="4">
        <v>37.5</v>
      </c>
      <c r="H29" s="13">
        <v>105.29932233407585</v>
      </c>
      <c r="I29" s="16">
        <v>233.0564356165032</v>
      </c>
      <c r="J29" s="6">
        <v>37.5</v>
      </c>
      <c r="K29" s="14">
        <v>84.2394578672607</v>
      </c>
      <c r="L29" s="17">
        <v>155.20390231515444</v>
      </c>
      <c r="M29" s="8">
        <v>25</v>
      </c>
      <c r="O29" s="15">
        <v>26</v>
      </c>
      <c r="P29" s="10">
        <v>95.49324943458714</v>
      </c>
      <c r="Q29" s="11">
        <v>36.233719917359394</v>
      </c>
      <c r="R29" s="199">
        <v>26.31332593615216</v>
      </c>
      <c r="S29" s="14">
        <v>18.362064352406314</v>
      </c>
      <c r="T29" s="200">
        <f t="shared" si="0"/>
        <v>19.39214039301581</v>
      </c>
      <c r="U29" s="200">
        <f t="shared" si="1"/>
        <v>157.46417999128838</v>
      </c>
      <c r="V29" s="200">
        <f t="shared" si="2"/>
        <v>148.15595260264078</v>
      </c>
      <c r="W29" s="200">
        <f t="shared" si="3"/>
        <v>105.29932233407585</v>
      </c>
      <c r="X29" s="197">
        <f t="shared" si="4"/>
        <v>84.2394578672607</v>
      </c>
    </row>
    <row r="30" spans="1:24" ht="15">
      <c r="A30" s="15">
        <v>27</v>
      </c>
      <c r="B30" s="10">
        <v>162.966018275908</v>
      </c>
      <c r="C30" s="1">
        <v>999.9999999999998</v>
      </c>
      <c r="D30" s="2">
        <v>100</v>
      </c>
      <c r="E30" s="11">
        <v>153.33255906747993</v>
      </c>
      <c r="F30" s="12">
        <v>334.68534665941166</v>
      </c>
      <c r="G30" s="4">
        <v>37.5</v>
      </c>
      <c r="H30" s="13">
        <v>108.97850729534242</v>
      </c>
      <c r="I30" s="16">
        <v>233.192755209244</v>
      </c>
      <c r="J30" s="6">
        <v>37.5</v>
      </c>
      <c r="K30" s="14">
        <v>87.18280583627394</v>
      </c>
      <c r="L30" s="17">
        <v>155.30797725811328</v>
      </c>
      <c r="M30" s="8">
        <v>25</v>
      </c>
      <c r="O30" s="15">
        <v>27</v>
      </c>
      <c r="P30" s="10">
        <v>98.33433815292265</v>
      </c>
      <c r="Q30" s="11">
        <v>37.32576152965631</v>
      </c>
      <c r="R30" s="199">
        <v>27.11021873334087</v>
      </c>
      <c r="S30" s="14">
        <v>18.91958821454931</v>
      </c>
      <c r="T30" s="200">
        <f t="shared" si="0"/>
        <v>20.069706684225125</v>
      </c>
      <c r="U30" s="200">
        <f t="shared" si="1"/>
        <v>162.966018275908</v>
      </c>
      <c r="V30" s="200">
        <f t="shared" si="2"/>
        <v>153.33255906747993</v>
      </c>
      <c r="W30" s="200">
        <f t="shared" si="3"/>
        <v>108.97850729534242</v>
      </c>
      <c r="X30" s="197">
        <f t="shared" si="4"/>
        <v>87.18280583627394</v>
      </c>
    </row>
    <row r="31" spans="1:24" ht="15">
      <c r="A31" s="15">
        <v>28</v>
      </c>
      <c r="B31" s="10">
        <v>168.44954326199772</v>
      </c>
      <c r="C31" s="1">
        <v>999.9999999999998</v>
      </c>
      <c r="D31" s="2">
        <v>112.5</v>
      </c>
      <c r="E31" s="11">
        <v>158.4919347933082</v>
      </c>
      <c r="F31" s="12">
        <v>334.81561820716564</v>
      </c>
      <c r="G31" s="4">
        <v>50</v>
      </c>
      <c r="H31" s="13">
        <v>112.64544580205019</v>
      </c>
      <c r="I31" s="16">
        <v>233.3177256338703</v>
      </c>
      <c r="J31" s="6">
        <v>37.5</v>
      </c>
      <c r="K31" s="14">
        <v>90.11635664164017</v>
      </c>
      <c r="L31" s="17">
        <v>155.4033884325571</v>
      </c>
      <c r="M31" s="8">
        <v>25</v>
      </c>
      <c r="O31" s="15">
        <v>28</v>
      </c>
      <c r="P31" s="10">
        <v>101.17309371376004</v>
      </c>
      <c r="Q31" s="11">
        <v>38.41652538581449</v>
      </c>
      <c r="R31" s="199">
        <v>27.906076156357493</v>
      </c>
      <c r="S31" s="14">
        <v>19.476349467012078</v>
      </c>
      <c r="T31" s="200">
        <f t="shared" si="0"/>
        <v>20.745017643103168</v>
      </c>
      <c r="U31" s="200">
        <f t="shared" si="1"/>
        <v>168.44954326199772</v>
      </c>
      <c r="V31" s="200">
        <f t="shared" si="2"/>
        <v>158.4919347933082</v>
      </c>
      <c r="W31" s="200">
        <f t="shared" si="3"/>
        <v>112.64544580205019</v>
      </c>
      <c r="X31" s="197">
        <f t="shared" si="4"/>
        <v>90.11635664164017</v>
      </c>
    </row>
    <row r="32" spans="1:24" ht="15">
      <c r="A32" s="15">
        <v>29</v>
      </c>
      <c r="B32" s="10">
        <v>173.91546702356462</v>
      </c>
      <c r="C32" s="1">
        <v>999.9999999999998</v>
      </c>
      <c r="D32" s="2">
        <v>112.5</v>
      </c>
      <c r="E32" s="11">
        <v>163.6347497610879</v>
      </c>
      <c r="F32" s="12">
        <v>334.93511326750394</v>
      </c>
      <c r="G32" s="4">
        <v>50</v>
      </c>
      <c r="H32" s="13">
        <v>116.30061403176798</v>
      </c>
      <c r="I32" s="16">
        <v>233.4323599492782</v>
      </c>
      <c r="J32" s="6">
        <v>37.5</v>
      </c>
      <c r="K32" s="14">
        <v>93.04049122541439</v>
      </c>
      <c r="L32" s="17">
        <v>155.49090905320622</v>
      </c>
      <c r="M32" s="8">
        <v>25</v>
      </c>
      <c r="O32" s="15">
        <v>29</v>
      </c>
      <c r="P32" s="10">
        <v>104.00981990482833</v>
      </c>
      <c r="Q32" s="11">
        <v>39.50613521796486</v>
      </c>
      <c r="R32" s="199">
        <v>28.700990378097384</v>
      </c>
      <c r="S32" s="14">
        <v>20.032413295018404</v>
      </c>
      <c r="T32" s="200">
        <f t="shared" si="0"/>
        <v>21.418160963493182</v>
      </c>
      <c r="U32" s="200">
        <f t="shared" si="1"/>
        <v>173.91546702356462</v>
      </c>
      <c r="V32" s="200">
        <f t="shared" si="2"/>
        <v>163.6347497610879</v>
      </c>
      <c r="W32" s="200">
        <f t="shared" si="3"/>
        <v>116.30061403176798</v>
      </c>
      <c r="X32" s="197">
        <f t="shared" si="4"/>
        <v>93.04049122541439</v>
      </c>
    </row>
    <row r="33" spans="1:24" ht="15">
      <c r="A33" s="15">
        <v>30</v>
      </c>
      <c r="B33" s="10">
        <v>179.36445036464121</v>
      </c>
      <c r="C33" s="1">
        <v>999.9999999999998</v>
      </c>
      <c r="D33" s="2">
        <v>112.5</v>
      </c>
      <c r="E33" s="11">
        <v>168.7616257125442</v>
      </c>
      <c r="F33" s="12">
        <v>335.04477633466723</v>
      </c>
      <c r="G33" s="4">
        <v>50</v>
      </c>
      <c r="H33" s="13">
        <v>119.94445387684752</v>
      </c>
      <c r="I33" s="16">
        <v>233.5375637693135</v>
      </c>
      <c r="J33" s="6">
        <v>37.5</v>
      </c>
      <c r="K33" s="14">
        <v>95.95556310147802</v>
      </c>
      <c r="L33" s="17">
        <v>155.57123034687754</v>
      </c>
      <c r="M33" s="8">
        <v>25</v>
      </c>
      <c r="O33" s="15">
        <v>30</v>
      </c>
      <c r="P33" s="10">
        <v>106.84477297200314</v>
      </c>
      <c r="Q33" s="11">
        <v>40.59469698089185</v>
      </c>
      <c r="R33" s="199">
        <v>29.495040733033466</v>
      </c>
      <c r="S33" s="14">
        <v>20.587835951587046</v>
      </c>
      <c r="T33" s="200">
        <f t="shared" si="0"/>
        <v>22.089218025202122</v>
      </c>
      <c r="U33" s="200">
        <f t="shared" si="1"/>
        <v>179.36445036464121</v>
      </c>
      <c r="V33" s="200">
        <f t="shared" si="2"/>
        <v>168.7616257125442</v>
      </c>
      <c r="W33" s="200">
        <f t="shared" si="3"/>
        <v>119.94445387684752</v>
      </c>
      <c r="X33" s="197">
        <f t="shared" si="4"/>
        <v>95.95556310147802</v>
      </c>
    </row>
    <row r="34" spans="1:24" ht="15">
      <c r="A34" s="15">
        <v>31</v>
      </c>
      <c r="B34" s="10">
        <v>184.7971080962031</v>
      </c>
      <c r="C34" s="1">
        <v>999.9999999999998</v>
      </c>
      <c r="D34" s="2">
        <v>112.5</v>
      </c>
      <c r="E34" s="11">
        <v>173.87314111514675</v>
      </c>
      <c r="F34" s="12">
        <v>335.14545348748004</v>
      </c>
      <c r="G34" s="4">
        <v>50</v>
      </c>
      <c r="H34" s="13">
        <v>123.57737647319985</v>
      </c>
      <c r="I34" s="16">
        <v>233.63414838277785</v>
      </c>
      <c r="J34" s="6">
        <v>37.5</v>
      </c>
      <c r="K34" s="14">
        <v>98.86190117855989</v>
      </c>
      <c r="L34" s="17">
        <v>155.64497156101305</v>
      </c>
      <c r="M34" s="8">
        <v>25</v>
      </c>
      <c r="O34" s="15">
        <v>31</v>
      </c>
      <c r="P34" s="10">
        <v>109.6781702172226</v>
      </c>
      <c r="Q34" s="11">
        <v>41.682301959904144</v>
      </c>
      <c r="R34" s="199">
        <v>30.288295931885674</v>
      </c>
      <c r="S34" s="14">
        <v>21.142666287194388</v>
      </c>
      <c r="T34" s="200">
        <f t="shared" si="0"/>
        <v>22.758264543867377</v>
      </c>
      <c r="U34" s="200">
        <f t="shared" si="1"/>
        <v>184.7971080962031</v>
      </c>
      <c r="V34" s="200">
        <f t="shared" si="2"/>
        <v>173.87314111514675</v>
      </c>
      <c r="W34" s="200">
        <f t="shared" si="3"/>
        <v>123.57737647319985</v>
      </c>
      <c r="X34" s="197">
        <f t="shared" si="4"/>
        <v>98.86190117855989</v>
      </c>
    </row>
    <row r="35" spans="1:24" ht="15">
      <c r="A35" s="15">
        <v>32</v>
      </c>
      <c r="B35" s="10">
        <v>190.21401361725563</v>
      </c>
      <c r="C35" s="1">
        <v>999.9999999999998</v>
      </c>
      <c r="D35" s="2">
        <v>125</v>
      </c>
      <c r="E35" s="11">
        <v>178.96983547239324</v>
      </c>
      <c r="F35" s="12">
        <v>335.23790423177127</v>
      </c>
      <c r="G35" s="4">
        <v>50</v>
      </c>
      <c r="H35" s="13">
        <v>127.19976526375594</v>
      </c>
      <c r="I35" s="16">
        <v>233.72284209784866</v>
      </c>
      <c r="J35" s="6">
        <v>37.5</v>
      </c>
      <c r="K35" s="14">
        <v>101.75981221100476</v>
      </c>
      <c r="L35" s="17">
        <v>155.7126886182181</v>
      </c>
      <c r="M35" s="8">
        <v>25</v>
      </c>
      <c r="O35" s="15">
        <v>32</v>
      </c>
      <c r="P35" s="10">
        <v>112.51019684703435</v>
      </c>
      <c r="Q35" s="11">
        <v>42.7690292566119</v>
      </c>
      <c r="R35" s="199">
        <v>31.080815835931094</v>
      </c>
      <c r="S35" s="14">
        <v>21.696946976402867</v>
      </c>
      <c r="T35" s="200">
        <f t="shared" si="0"/>
        <v>23.425371135130007</v>
      </c>
      <c r="U35" s="200">
        <f t="shared" si="1"/>
        <v>190.21401361725563</v>
      </c>
      <c r="V35" s="200">
        <f t="shared" si="2"/>
        <v>178.96983547239324</v>
      </c>
      <c r="W35" s="200">
        <f t="shared" si="3"/>
        <v>127.19976526375594</v>
      </c>
      <c r="X35" s="197">
        <f t="shared" si="4"/>
        <v>101.75981221100476</v>
      </c>
    </row>
    <row r="36" spans="1:24" ht="15">
      <c r="A36" s="15">
        <v>33</v>
      </c>
      <c r="B36" s="10">
        <v>195.61570291072778</v>
      </c>
      <c r="C36" s="1">
        <v>999.9999999999998</v>
      </c>
      <c r="D36" s="2">
        <v>125</v>
      </c>
      <c r="E36" s="11">
        <v>184.05221308349263</v>
      </c>
      <c r="F36" s="12">
        <v>335.3228117550238</v>
      </c>
      <c r="G36" s="4">
        <v>50</v>
      </c>
      <c r="H36" s="13">
        <v>130.8119786705975</v>
      </c>
      <c r="I36" s="16">
        <v>233.80430006647217</v>
      </c>
      <c r="J36" s="6">
        <v>37.5</v>
      </c>
      <c r="K36" s="14">
        <v>104.64958293647803</v>
      </c>
      <c r="L36" s="17">
        <v>155.77488161159104</v>
      </c>
      <c r="M36" s="8">
        <v>25</v>
      </c>
      <c r="O36" s="15">
        <v>33</v>
      </c>
      <c r="P36" s="10">
        <v>115.3410114645293</v>
      </c>
      <c r="Q36" s="11">
        <v>43.85494779103153</v>
      </c>
      <c r="R36" s="199">
        <v>31.872652888574912</v>
      </c>
      <c r="S36" s="14">
        <v>22.250715508493244</v>
      </c>
      <c r="T36" s="200">
        <f t="shared" si="0"/>
        <v>24.090603806739875</v>
      </c>
      <c r="U36" s="200">
        <f t="shared" si="1"/>
        <v>195.61570291072778</v>
      </c>
      <c r="V36" s="200">
        <f t="shared" si="2"/>
        <v>184.05221308349263</v>
      </c>
      <c r="W36" s="200">
        <f t="shared" si="3"/>
        <v>130.8119786705975</v>
      </c>
      <c r="X36" s="197">
        <f t="shared" si="4"/>
        <v>104.64958293647803</v>
      </c>
    </row>
    <row r="37" spans="1:24" ht="15">
      <c r="A37" s="15">
        <v>34</v>
      </c>
      <c r="B37" s="10">
        <v>201.0026780443993</v>
      </c>
      <c r="C37" s="1">
        <v>999.9999999999998</v>
      </c>
      <c r="D37" s="2">
        <v>125</v>
      </c>
      <c r="E37" s="11">
        <v>189.12074633734122</v>
      </c>
      <c r="F37" s="12">
        <v>335.4007918218231</v>
      </c>
      <c r="G37" s="4">
        <v>50</v>
      </c>
      <c r="H37" s="13">
        <v>134.41435243609462</v>
      </c>
      <c r="I37" s="16">
        <v>233.87911280736435</v>
      </c>
      <c r="J37" s="6">
        <v>37.5</v>
      </c>
      <c r="K37" s="14">
        <v>107.5314819488757</v>
      </c>
      <c r="L37" s="17">
        <v>155.8320013074961</v>
      </c>
      <c r="M37" s="8">
        <v>25</v>
      </c>
      <c r="O37" s="15">
        <v>34</v>
      </c>
      <c r="P37" s="10">
        <v>118.17075050152964</v>
      </c>
      <c r="Q37" s="11">
        <v>44.94011792482753</v>
      </c>
      <c r="R37" s="199">
        <v>32.66385327815067</v>
      </c>
      <c r="S37" s="14">
        <v>22.80400499291732</v>
      </c>
      <c r="T37" s="200">
        <f t="shared" si="0"/>
        <v>24.754024389704348</v>
      </c>
      <c r="U37" s="200">
        <f t="shared" si="1"/>
        <v>201.0026780443993</v>
      </c>
      <c r="V37" s="200">
        <f t="shared" si="2"/>
        <v>189.12074633734122</v>
      </c>
      <c r="W37" s="200">
        <f t="shared" si="3"/>
        <v>134.41435243609462</v>
      </c>
      <c r="X37" s="197">
        <f t="shared" si="4"/>
        <v>107.5314819488757</v>
      </c>
    </row>
    <row r="38" spans="1:24" ht="15">
      <c r="A38" s="15">
        <v>35</v>
      </c>
      <c r="B38" s="10">
        <v>206.37541025093014</v>
      </c>
      <c r="C38" s="1">
        <v>999.9999999999998</v>
      </c>
      <c r="D38" s="2">
        <v>125</v>
      </c>
      <c r="E38" s="11">
        <v>194.17587861048108</v>
      </c>
      <c r="F38" s="12">
        <v>335.4724005049718</v>
      </c>
      <c r="G38" s="4">
        <v>50</v>
      </c>
      <c r="H38" s="13">
        <v>138.00720168258013</v>
      </c>
      <c r="I38" s="16">
        <v>233.94781361404182</v>
      </c>
      <c r="J38" s="6">
        <v>37.5</v>
      </c>
      <c r="K38" s="14">
        <v>110.40576134606412</v>
      </c>
      <c r="L38" s="17">
        <v>155.8844547979077</v>
      </c>
      <c r="M38" s="8">
        <v>25</v>
      </c>
      <c r="O38" s="15">
        <v>35</v>
      </c>
      <c r="P38" s="10">
        <v>120.99953181718034</v>
      </c>
      <c r="Q38" s="11">
        <v>46.024592785679104</v>
      </c>
      <c r="R38" s="199">
        <v>33.454457888444324</v>
      </c>
      <c r="S38" s="14">
        <v>23.356844818399427</v>
      </c>
      <c r="T38" s="200">
        <f t="shared" si="0"/>
        <v>25.415690917602237</v>
      </c>
      <c r="U38" s="200">
        <f t="shared" si="1"/>
        <v>206.37541025093014</v>
      </c>
      <c r="V38" s="200">
        <f t="shared" si="2"/>
        <v>194.17587861048108</v>
      </c>
      <c r="W38" s="200">
        <f t="shared" si="3"/>
        <v>138.00720168258013</v>
      </c>
      <c r="X38" s="197">
        <f t="shared" si="4"/>
        <v>110.40576134606412</v>
      </c>
    </row>
    <row r="39" spans="1:24" ht="15">
      <c r="A39" s="15">
        <v>36</v>
      </c>
      <c r="B39" s="10">
        <v>211.73434264817666</v>
      </c>
      <c r="C39" s="1">
        <v>999.9999999999998</v>
      </c>
      <c r="D39" s="2">
        <v>125</v>
      </c>
      <c r="E39" s="11">
        <v>199.2180268266096</v>
      </c>
      <c r="F39" s="12">
        <v>335.5381409180864</v>
      </c>
      <c r="G39" s="4">
        <v>50</v>
      </c>
      <c r="H39" s="13">
        <v>141.59082273147774</v>
      </c>
      <c r="I39" s="16">
        <v>234.0108850065653</v>
      </c>
      <c r="J39" s="6">
        <v>37.5</v>
      </c>
      <c r="K39" s="14">
        <v>113.27265818518222</v>
      </c>
      <c r="L39" s="17">
        <v>155.93261042331042</v>
      </c>
      <c r="M39" s="8">
        <v>25</v>
      </c>
      <c r="O39" s="15">
        <v>36</v>
      </c>
      <c r="P39" s="10">
        <v>123.82745763650372</v>
      </c>
      <c r="Q39" s="11">
        <v>47.10841935427856</v>
      </c>
      <c r="R39" s="199">
        <v>34.24450308041848</v>
      </c>
      <c r="S39" s="14">
        <v>23.909261195581323</v>
      </c>
      <c r="T39" s="200">
        <f t="shared" si="0"/>
        <v>26.075657961598115</v>
      </c>
      <c r="U39" s="200">
        <f t="shared" si="1"/>
        <v>211.73434264817666</v>
      </c>
      <c r="V39" s="200">
        <f t="shared" si="2"/>
        <v>199.2180268266096</v>
      </c>
      <c r="W39" s="200">
        <f t="shared" si="3"/>
        <v>141.59082273147774</v>
      </c>
      <c r="X39" s="197">
        <f t="shared" si="4"/>
        <v>113.27265818518222</v>
      </c>
    </row>
    <row r="40" spans="1:24" ht="15">
      <c r="A40" s="15">
        <v>37</v>
      </c>
      <c r="B40" s="10">
        <v>217.0798926506293</v>
      </c>
      <c r="C40" s="1">
        <v>999.9999999999998</v>
      </c>
      <c r="D40" s="2">
        <v>150</v>
      </c>
      <c r="E40" s="11">
        <v>204.24758372546893</v>
      </c>
      <c r="F40" s="12">
        <v>335.59846909068386</v>
      </c>
      <c r="G40" s="4">
        <v>50</v>
      </c>
      <c r="H40" s="13">
        <v>145.1654947158765</v>
      </c>
      <c r="I40" s="16">
        <v>234.06876436195228</v>
      </c>
      <c r="J40" s="6">
        <v>37.5</v>
      </c>
      <c r="K40" s="14">
        <v>116.1323957727012</v>
      </c>
      <c r="L40" s="17">
        <v>155.97680206905952</v>
      </c>
      <c r="M40" s="8">
        <v>25</v>
      </c>
      <c r="O40" s="15">
        <v>37</v>
      </c>
      <c r="P40" s="10">
        <v>126.65461696305972</v>
      </c>
      <c r="Q40" s="11">
        <v>48.191639361596614</v>
      </c>
      <c r="R40" s="199">
        <v>35.03402133883656</v>
      </c>
      <c r="S40" s="14">
        <v>24.461277606393462</v>
      </c>
      <c r="T40" s="200">
        <f t="shared" si="0"/>
        <v>26.7339769274174</v>
      </c>
      <c r="U40" s="200">
        <f t="shared" si="1"/>
        <v>217.0798926506293</v>
      </c>
      <c r="V40" s="200">
        <f t="shared" si="2"/>
        <v>204.24758372546893</v>
      </c>
      <c r="W40" s="200">
        <f t="shared" si="3"/>
        <v>145.1654947158765</v>
      </c>
      <c r="X40" s="197">
        <f t="shared" si="4"/>
        <v>116.1323957727012</v>
      </c>
    </row>
    <row r="41" spans="1:24" ht="15">
      <c r="A41" s="15">
        <v>38</v>
      </c>
      <c r="B41" s="10">
        <v>222.41245411444726</v>
      </c>
      <c r="C41" s="1">
        <v>999.9999999999998</v>
      </c>
      <c r="D41" s="2">
        <v>150</v>
      </c>
      <c r="E41" s="11">
        <v>209.2649198810809</v>
      </c>
      <c r="F41" s="12">
        <v>335.6537991056594</v>
      </c>
      <c r="G41" s="4">
        <v>50</v>
      </c>
      <c r="H41" s="13">
        <v>148.73148101495673</v>
      </c>
      <c r="I41" s="16">
        <v>234.12184883802314</v>
      </c>
      <c r="J41" s="6">
        <v>37.5</v>
      </c>
      <c r="K41" s="14">
        <v>118.9851848119654</v>
      </c>
      <c r="L41" s="17">
        <v>156.0173329227251</v>
      </c>
      <c r="M41" s="8">
        <v>37.5</v>
      </c>
      <c r="O41" s="15">
        <v>38</v>
      </c>
      <c r="P41" s="10">
        <v>129.48108757009382</v>
      </c>
      <c r="Q41" s="11">
        <v>49.27429003356147</v>
      </c>
      <c r="R41" s="199">
        <v>35.82304181008982</v>
      </c>
      <c r="S41" s="14">
        <v>25.012915178256186</v>
      </c>
      <c r="T41" s="200">
        <f t="shared" si="0"/>
        <v>27.39069631951321</v>
      </c>
      <c r="U41" s="200">
        <f t="shared" si="1"/>
        <v>222.41245411444726</v>
      </c>
      <c r="V41" s="200">
        <f t="shared" si="2"/>
        <v>209.2649198810809</v>
      </c>
      <c r="W41" s="200">
        <f t="shared" si="3"/>
        <v>148.73148101495673</v>
      </c>
      <c r="X41" s="197">
        <f t="shared" si="4"/>
        <v>118.9851848119654</v>
      </c>
    </row>
    <row r="42" spans="1:24" ht="15">
      <c r="A42" s="15">
        <v>39</v>
      </c>
      <c r="B42" s="10">
        <v>227.7323992517552</v>
      </c>
      <c r="C42" s="1">
        <v>999.9999999999998</v>
      </c>
      <c r="D42" s="2">
        <v>150</v>
      </c>
      <c r="E42" s="11">
        <v>214.270385502883</v>
      </c>
      <c r="F42" s="12">
        <v>335.7045076011709</v>
      </c>
      <c r="G42" s="4">
        <v>75</v>
      </c>
      <c r="H42" s="13">
        <v>152.2890305341171</v>
      </c>
      <c r="I42" s="16">
        <v>234.17049968835528</v>
      </c>
      <c r="J42" s="6">
        <v>37.5</v>
      </c>
      <c r="K42" s="14">
        <v>121.83122442729369</v>
      </c>
      <c r="L42" s="17">
        <v>156.0544787669023</v>
      </c>
      <c r="M42" s="8">
        <v>37.5</v>
      </c>
      <c r="O42" s="15">
        <v>39</v>
      </c>
      <c r="P42" s="10">
        <v>132.30693765190983</v>
      </c>
      <c r="Q42" s="11">
        <v>50.35640471230569</v>
      </c>
      <c r="R42" s="199">
        <v>36.61159075189004</v>
      </c>
      <c r="S42" s="14">
        <v>25.56419299733977</v>
      </c>
      <c r="T42" s="200">
        <f t="shared" si="0"/>
        <v>28.045861976817147</v>
      </c>
      <c r="U42" s="200">
        <f t="shared" si="1"/>
        <v>227.7323992517552</v>
      </c>
      <c r="V42" s="200">
        <f t="shared" si="2"/>
        <v>214.270385502883</v>
      </c>
      <c r="W42" s="200">
        <f t="shared" si="3"/>
        <v>152.2890305341171</v>
      </c>
      <c r="X42" s="197">
        <f t="shared" si="4"/>
        <v>121.83122442729369</v>
      </c>
    </row>
    <row r="43" spans="1:24" ht="15">
      <c r="A43" s="15">
        <v>40</v>
      </c>
      <c r="B43" s="10">
        <v>233.0400803443033</v>
      </c>
      <c r="C43" s="1">
        <v>999.9999999999998</v>
      </c>
      <c r="D43" s="2">
        <v>150</v>
      </c>
      <c r="E43" s="11">
        <v>219.26431204808833</v>
      </c>
      <c r="F43" s="12">
        <v>335.75093772379216</v>
      </c>
      <c r="G43" s="4">
        <v>75</v>
      </c>
      <c r="H43" s="13">
        <v>155.8383788509319</v>
      </c>
      <c r="I43" s="16">
        <v>234.21504605151432</v>
      </c>
      <c r="J43" s="6">
        <v>37.5</v>
      </c>
      <c r="K43" s="14">
        <v>124.67070308074553</v>
      </c>
      <c r="L43" s="17">
        <v>156.0884908709276</v>
      </c>
      <c r="M43" s="8">
        <v>37.5</v>
      </c>
      <c r="O43" s="15">
        <v>40</v>
      </c>
      <c r="P43" s="10">
        <v>135.13222719988366</v>
      </c>
      <c r="Q43" s="11">
        <v>51.438013377011465</v>
      </c>
      <c r="R43" s="199">
        <v>37.39969191116648</v>
      </c>
      <c r="S43" s="14">
        <v>26.115128372140486</v>
      </c>
      <c r="T43" s="200">
        <f t="shared" si="0"/>
        <v>28.699517283781198</v>
      </c>
      <c r="U43" s="200">
        <f t="shared" si="1"/>
        <v>233.0400803443033</v>
      </c>
      <c r="V43" s="200">
        <f t="shared" si="2"/>
        <v>219.26431204808833</v>
      </c>
      <c r="W43" s="200">
        <f t="shared" si="3"/>
        <v>155.8383788509319</v>
      </c>
      <c r="X43" s="197">
        <f t="shared" si="4"/>
        <v>124.67070308074553</v>
      </c>
    </row>
    <row r="44" spans="1:24" ht="15">
      <c r="A44" s="15">
        <v>41</v>
      </c>
      <c r="B44" s="10">
        <v>238.33583128200874</v>
      </c>
      <c r="C44" s="1">
        <v>999.9999999999998</v>
      </c>
      <c r="D44" s="2">
        <v>150</v>
      </c>
      <c r="E44" s="11">
        <v>224.24701366927917</v>
      </c>
      <c r="F44" s="12">
        <v>335.79340260702236</v>
      </c>
      <c r="G44" s="4">
        <v>75</v>
      </c>
      <c r="H44" s="13">
        <v>159.3797492440034</v>
      </c>
      <c r="I44" s="16">
        <v>234.25578828549922</v>
      </c>
      <c r="J44" s="6">
        <v>50</v>
      </c>
      <c r="K44" s="14">
        <v>127.50379939520273</v>
      </c>
      <c r="L44" s="17">
        <v>156.1195985356032</v>
      </c>
      <c r="M44" s="8">
        <v>37.5</v>
      </c>
      <c r="O44" s="15">
        <v>41</v>
      </c>
      <c r="P44" s="10">
        <v>137.95700915415534</v>
      </c>
      <c r="Q44" s="11">
        <v>52.51914308264687</v>
      </c>
      <c r="R44" s="199">
        <v>38.18736684315763</v>
      </c>
      <c r="S44" s="14">
        <v>26.665737056328396</v>
      </c>
      <c r="T44" s="200">
        <f t="shared" si="0"/>
        <v>29.351703359853296</v>
      </c>
      <c r="U44" s="200">
        <f t="shared" si="1"/>
        <v>238.33583128200874</v>
      </c>
      <c r="V44" s="200">
        <f t="shared" si="2"/>
        <v>224.24701366927917</v>
      </c>
      <c r="W44" s="200">
        <f t="shared" si="3"/>
        <v>159.3797492440034</v>
      </c>
      <c r="X44" s="197">
        <f t="shared" si="4"/>
        <v>127.50379939520273</v>
      </c>
    </row>
    <row r="45" spans="1:24" ht="15">
      <c r="A45" s="15">
        <v>42</v>
      </c>
      <c r="B45" s="10">
        <v>243.61996894810883</v>
      </c>
      <c r="C45" s="1">
        <v>999.9999999999998</v>
      </c>
      <c r="D45" s="2">
        <v>150</v>
      </c>
      <c r="E45" s="11">
        <v>229.21878851767875</v>
      </c>
      <c r="F45" s="12">
        <v>335.8321884383941</v>
      </c>
      <c r="G45" s="4">
        <v>75</v>
      </c>
      <c r="H45" s="13">
        <v>162.91335361924027</v>
      </c>
      <c r="I45" s="16">
        <v>234.29300090798193</v>
      </c>
      <c r="J45" s="6">
        <v>50</v>
      </c>
      <c r="K45" s="14">
        <v>130.33068289539224</v>
      </c>
      <c r="L45" s="17">
        <v>156.14801133713922</v>
      </c>
      <c r="M45" s="8">
        <v>37.5</v>
      </c>
      <c r="O45" s="15">
        <v>42</v>
      </c>
      <c r="P45" s="10">
        <v>140.78133037169155</v>
      </c>
      <c r="Q45" s="11">
        <v>53.599818331215864</v>
      </c>
      <c r="R45" s="199">
        <v>38.97463518209336</v>
      </c>
      <c r="S45" s="14">
        <v>27.21603343803735</v>
      </c>
      <c r="T45" s="200">
        <f t="shared" si="0"/>
        <v>30.002459230062666</v>
      </c>
      <c r="U45" s="200">
        <f t="shared" si="1"/>
        <v>243.61996894810883</v>
      </c>
      <c r="V45" s="200">
        <f t="shared" si="2"/>
        <v>229.21878851767875</v>
      </c>
      <c r="W45" s="200">
        <f t="shared" si="3"/>
        <v>162.91335361924027</v>
      </c>
      <c r="X45" s="197">
        <f t="shared" si="4"/>
        <v>130.33068289539224</v>
      </c>
    </row>
    <row r="46" spans="1:24" ht="15">
      <c r="A46" s="15">
        <v>43</v>
      </c>
      <c r="B46" s="10">
        <v>248.89279446950653</v>
      </c>
      <c r="C46" s="1">
        <v>999.9999999999998</v>
      </c>
      <c r="D46" s="2">
        <v>150</v>
      </c>
      <c r="E46" s="11">
        <v>234.17991991958496</v>
      </c>
      <c r="F46" s="12">
        <v>335.86755716929326</v>
      </c>
      <c r="G46" s="4">
        <v>75</v>
      </c>
      <c r="H46" s="13">
        <v>166.43939334598775</v>
      </c>
      <c r="I46" s="16">
        <v>234.32693519415795</v>
      </c>
      <c r="J46" s="6">
        <v>50</v>
      </c>
      <c r="K46" s="14">
        <v>133.1515146767902</v>
      </c>
      <c r="L46" s="17">
        <v>156.17392110984338</v>
      </c>
      <c r="M46" s="8">
        <v>37.5</v>
      </c>
      <c r="O46" s="15">
        <v>43</v>
      </c>
      <c r="P46" s="10">
        <v>143.6052324433064</v>
      </c>
      <c r="Q46" s="11">
        <v>54.680061387264786</v>
      </c>
      <c r="R46" s="199">
        <v>39.76151487182436</v>
      </c>
      <c r="S46" s="14">
        <v>27.76603070136553</v>
      </c>
      <c r="T46" s="200">
        <f t="shared" si="0"/>
        <v>30.65182197900327</v>
      </c>
      <c r="U46" s="200">
        <f t="shared" si="1"/>
        <v>248.89279446950653</v>
      </c>
      <c r="V46" s="200">
        <f t="shared" si="2"/>
        <v>234.17991991958496</v>
      </c>
      <c r="W46" s="200">
        <f t="shared" si="3"/>
        <v>166.43939334598775</v>
      </c>
      <c r="X46" s="197">
        <f t="shared" si="4"/>
        <v>133.1515146767902</v>
      </c>
    </row>
    <row r="47" spans="1:24" ht="15">
      <c r="A47" s="15">
        <v>44</v>
      </c>
      <c r="B47" s="10">
        <v>254.15459434825644</v>
      </c>
      <c r="C47" s="1">
        <v>999.9999999999998</v>
      </c>
      <c r="D47" s="2">
        <v>150</v>
      </c>
      <c r="E47" s="11">
        <v>239.13067744097037</v>
      </c>
      <c r="F47" s="12">
        <v>335.8997489138435</v>
      </c>
      <c r="G47" s="4">
        <v>75</v>
      </c>
      <c r="H47" s="13">
        <v>169.95806001367396</v>
      </c>
      <c r="I47" s="16">
        <v>234.3578214766174</v>
      </c>
      <c r="J47" s="6">
        <v>50</v>
      </c>
      <c r="K47" s="14">
        <v>135.9664480109392</v>
      </c>
      <c r="L47" s="17">
        <v>156.19750370143194</v>
      </c>
      <c r="M47" s="8">
        <v>37.5</v>
      </c>
      <c r="O47" s="15">
        <v>44</v>
      </c>
      <c r="P47" s="10">
        <v>146.4287523858985</v>
      </c>
      <c r="Q47" s="11">
        <v>55.75989254713321</v>
      </c>
      <c r="R47" s="199">
        <v>40.54802236315958</v>
      </c>
      <c r="S47" s="14">
        <v>28.31574096475553</v>
      </c>
      <c r="T47" s="200">
        <f t="shared" si="0"/>
        <v>31.299826890179368</v>
      </c>
      <c r="U47" s="200">
        <f t="shared" si="1"/>
        <v>254.15459434825644</v>
      </c>
      <c r="V47" s="200">
        <f t="shared" si="2"/>
        <v>239.13067744097037</v>
      </c>
      <c r="W47" s="200">
        <f t="shared" si="3"/>
        <v>169.95806001367396</v>
      </c>
      <c r="X47" s="197">
        <f t="shared" si="4"/>
        <v>135.9664480109392</v>
      </c>
    </row>
    <row r="48" spans="1:24" ht="15">
      <c r="A48" s="15">
        <v>45</v>
      </c>
      <c r="B48" s="10">
        <v>259.4056414879368</v>
      </c>
      <c r="C48" s="1">
        <v>999.9999999999998</v>
      </c>
      <c r="D48" s="2">
        <v>150</v>
      </c>
      <c r="E48" s="11">
        <v>244.07131785318194</v>
      </c>
      <c r="F48" s="12">
        <v>335.92898407665547</v>
      </c>
      <c r="G48" s="4">
        <v>75</v>
      </c>
      <c r="H48" s="13">
        <v>173.46953611816463</v>
      </c>
      <c r="I48" s="16">
        <v>234.38587118535688</v>
      </c>
      <c r="J48" s="6">
        <v>50</v>
      </c>
      <c r="K48" s="14">
        <v>138.77562889453174</v>
      </c>
      <c r="L48" s="17">
        <v>156.2189205300484</v>
      </c>
      <c r="M48" s="8">
        <v>37.5</v>
      </c>
      <c r="O48" s="15">
        <v>45</v>
      </c>
      <c r="P48" s="10">
        <v>149.25192323114692</v>
      </c>
      <c r="Q48" s="11">
        <v>56.83933036964853</v>
      </c>
      <c r="R48" s="199">
        <v>41.33417278340353</v>
      </c>
      <c r="S48" s="14">
        <v>28.86517540004958</v>
      </c>
      <c r="T48" s="200">
        <f t="shared" si="0"/>
        <v>31.946507572406013</v>
      </c>
      <c r="U48" s="200">
        <f t="shared" si="1"/>
        <v>259.4056414879368</v>
      </c>
      <c r="V48" s="200">
        <f t="shared" si="2"/>
        <v>244.07131785318194</v>
      </c>
      <c r="W48" s="200">
        <f t="shared" si="3"/>
        <v>173.46953611816463</v>
      </c>
      <c r="X48" s="197">
        <f t="shared" si="4"/>
        <v>138.77562889453174</v>
      </c>
    </row>
    <row r="49" spans="1:24" ht="15">
      <c r="A49" s="15">
        <v>46</v>
      </c>
      <c r="B49" s="10">
        <v>264.64619612678774</v>
      </c>
      <c r="C49" s="1">
        <v>999.9999999999998</v>
      </c>
      <c r="D49" s="2" t="s">
        <v>21</v>
      </c>
      <c r="E49" s="11">
        <v>249.00208601091853</v>
      </c>
      <c r="F49" s="12">
        <v>335.955465243665</v>
      </c>
      <c r="G49" s="4">
        <v>75</v>
      </c>
      <c r="H49" s="13">
        <v>176.97399568577063</v>
      </c>
      <c r="I49" s="16">
        <v>234.41127866072299</v>
      </c>
      <c r="J49" s="6">
        <v>50</v>
      </c>
      <c r="K49" s="14">
        <v>141.57919654861652</v>
      </c>
      <c r="L49" s="17">
        <v>156.23831996800422</v>
      </c>
      <c r="M49" s="8">
        <v>37.5</v>
      </c>
      <c r="O49" s="15">
        <v>46</v>
      </c>
      <c r="P49" s="10">
        <v>152.07477452793887</v>
      </c>
      <c r="Q49" s="11">
        <v>57.91839187454334</v>
      </c>
      <c r="R49" s="199">
        <v>42.11998008257859</v>
      </c>
      <c r="S49" s="14">
        <v>29.41434433532164</v>
      </c>
      <c r="T49" s="200">
        <f t="shared" si="0"/>
        <v>32.59189607472756</v>
      </c>
      <c r="U49" s="200">
        <f t="shared" si="1"/>
        <v>264.64619612678774</v>
      </c>
      <c r="V49" s="200">
        <f t="shared" si="2"/>
        <v>249.00208601091853</v>
      </c>
      <c r="W49" s="200">
        <f t="shared" si="3"/>
        <v>176.97399568577063</v>
      </c>
      <c r="X49" s="197">
        <f t="shared" si="4"/>
        <v>141.57919654861652</v>
      </c>
    </row>
    <row r="50" spans="1:24" ht="15">
      <c r="A50" s="15">
        <v>47</v>
      </c>
      <c r="B50" s="10">
        <v>269.87650668793145</v>
      </c>
      <c r="C50" s="1">
        <v>999.9999999999998</v>
      </c>
      <c r="D50" s="2" t="s">
        <v>21</v>
      </c>
      <c r="E50" s="11">
        <v>253.92321565219166</v>
      </c>
      <c r="F50" s="12">
        <v>335.97937886555474</v>
      </c>
      <c r="G50" s="4">
        <v>75</v>
      </c>
      <c r="H50" s="13">
        <v>180.47160484180637</v>
      </c>
      <c r="I50" s="16">
        <v>234.4342227675495</v>
      </c>
      <c r="J50" s="6">
        <v>50</v>
      </c>
      <c r="K50" s="14">
        <v>144.37728387344512</v>
      </c>
      <c r="L50" s="17">
        <v>156.25583857380266</v>
      </c>
      <c r="M50" s="8">
        <v>37.5</v>
      </c>
      <c r="O50" s="15">
        <v>47</v>
      </c>
      <c r="P50" s="10">
        <v>154.89733277263946</v>
      </c>
      <c r="Q50" s="11">
        <v>58.997092713742106</v>
      </c>
      <c r="R50" s="199">
        <v>42.90545716001276</v>
      </c>
      <c r="S50" s="14">
        <v>29.963257344033387</v>
      </c>
      <c r="T50" s="200">
        <f t="shared" si="0"/>
        <v>33.236022991124564</v>
      </c>
      <c r="U50" s="200">
        <f t="shared" si="1"/>
        <v>269.87650668793145</v>
      </c>
      <c r="V50" s="200">
        <f t="shared" si="2"/>
        <v>253.92321565219166</v>
      </c>
      <c r="W50" s="200">
        <f t="shared" si="3"/>
        <v>180.47160484180637</v>
      </c>
      <c r="X50" s="197">
        <f t="shared" si="4"/>
        <v>144.37728387344512</v>
      </c>
    </row>
    <row r="51" spans="1:24" ht="15">
      <c r="A51" s="15">
        <v>48</v>
      </c>
      <c r="B51" s="10">
        <v>275.09681055564647</v>
      </c>
      <c r="C51" s="1">
        <v>999.9999999999998</v>
      </c>
      <c r="D51" s="2" t="s">
        <v>21</v>
      </c>
      <c r="E51" s="11">
        <v>258.83493012871173</v>
      </c>
      <c r="F51" s="12">
        <v>336.00089675923215</v>
      </c>
      <c r="G51" s="4">
        <v>75</v>
      </c>
      <c r="H51" s="13">
        <v>183.96252232969957</v>
      </c>
      <c r="I51" s="16">
        <v>234.45486833488286</v>
      </c>
      <c r="J51" s="6">
        <v>50</v>
      </c>
      <c r="K51" s="14">
        <v>147.17001786375968</v>
      </c>
      <c r="L51" s="17">
        <v>156.27160219106423</v>
      </c>
      <c r="M51" s="8">
        <v>37.5</v>
      </c>
      <c r="O51" s="15">
        <v>48</v>
      </c>
      <c r="P51" s="10">
        <v>157.7196217787702</v>
      </c>
      <c r="Q51" s="11">
        <v>60.07544731974923</v>
      </c>
      <c r="R51" s="199">
        <v>43.690615974323364</v>
      </c>
      <c r="S51" s="14">
        <v>30.511923322612986</v>
      </c>
      <c r="T51" s="200">
        <f t="shared" si="0"/>
        <v>33.878917556114104</v>
      </c>
      <c r="U51" s="200">
        <f t="shared" si="1"/>
        <v>275.09681055564647</v>
      </c>
      <c r="V51" s="200">
        <f t="shared" si="2"/>
        <v>258.83493012871173</v>
      </c>
      <c r="W51" s="200">
        <f t="shared" si="3"/>
        <v>183.96252232969957</v>
      </c>
      <c r="X51" s="197">
        <f t="shared" si="4"/>
        <v>147.17001786375968</v>
      </c>
    </row>
    <row r="52" spans="1:24" ht="15">
      <c r="A52" s="15">
        <v>49</v>
      </c>
      <c r="B52" s="10">
        <v>280.30733478553435</v>
      </c>
      <c r="C52" s="1">
        <v>999.9999999999998</v>
      </c>
      <c r="D52" s="2" t="s">
        <v>21</v>
      </c>
      <c r="E52" s="11">
        <v>263.7374430740742</v>
      </c>
      <c r="F52" s="12">
        <v>336.0201774493799</v>
      </c>
      <c r="G52" s="4">
        <v>75</v>
      </c>
      <c r="H52" s="13">
        <v>187.44689998589305</v>
      </c>
      <c r="I52" s="16">
        <v>234.47336744241247</v>
      </c>
      <c r="J52" s="6">
        <v>50</v>
      </c>
      <c r="K52" s="14">
        <v>149.95751998871447</v>
      </c>
      <c r="L52" s="17">
        <v>156.28572693045746</v>
      </c>
      <c r="M52" s="8">
        <v>37.5</v>
      </c>
      <c r="O52" s="15">
        <v>49</v>
      </c>
      <c r="P52" s="10">
        <v>160.54166299563678</v>
      </c>
      <c r="Q52" s="11">
        <v>61.153469034642114</v>
      </c>
      <c r="R52" s="199">
        <v>44.47546763930923</v>
      </c>
      <c r="S52" s="14">
        <v>31.060350558197904</v>
      </c>
      <c r="T52" s="200">
        <f t="shared" si="0"/>
        <v>34.52060773220867</v>
      </c>
      <c r="U52" s="200">
        <f t="shared" si="1"/>
        <v>280.30733478553435</v>
      </c>
      <c r="V52" s="200">
        <f t="shared" si="2"/>
        <v>263.7374430740742</v>
      </c>
      <c r="W52" s="200">
        <f t="shared" si="3"/>
        <v>187.44689998589305</v>
      </c>
      <c r="X52" s="197">
        <f t="shared" si="4"/>
        <v>149.95751998871447</v>
      </c>
    </row>
    <row r="53" spans="1:24" ht="15">
      <c r="A53" s="15">
        <v>50</v>
      </c>
      <c r="B53" s="10">
        <v>285.5082967554432</v>
      </c>
      <c r="C53" s="1">
        <v>999.9999999999998</v>
      </c>
      <c r="D53" s="2" t="s">
        <v>21</v>
      </c>
      <c r="E53" s="11">
        <v>268.6309590162052</v>
      </c>
      <c r="F53" s="12">
        <v>336.0373673691946</v>
      </c>
      <c r="G53" s="4">
        <v>75</v>
      </c>
      <c r="H53" s="13">
        <v>190.92488317513013</v>
      </c>
      <c r="I53" s="16">
        <v>234.48986057190334</v>
      </c>
      <c r="J53" s="6">
        <v>50</v>
      </c>
      <c r="K53" s="14">
        <v>152.73990654010413</v>
      </c>
      <c r="L53" s="17">
        <v>156.29832004860566</v>
      </c>
      <c r="M53" s="8">
        <v>37.5</v>
      </c>
      <c r="O53" s="15">
        <v>50</v>
      </c>
      <c r="P53" s="10">
        <v>163.3634757837749</v>
      </c>
      <c r="Q53" s="11">
        <v>62.23117022256883</v>
      </c>
      <c r="R53" s="199">
        <v>45.26002250783339</v>
      </c>
      <c r="S53" s="14">
        <v>31.60854678798593</v>
      </c>
      <c r="T53" s="200">
        <f t="shared" si="0"/>
        <v>35.16112029007922</v>
      </c>
      <c r="U53" s="200">
        <f t="shared" si="1"/>
        <v>285.5082967554432</v>
      </c>
      <c r="V53" s="200">
        <f t="shared" si="2"/>
        <v>268.6309590162052</v>
      </c>
      <c r="W53" s="200">
        <f t="shared" si="3"/>
        <v>190.92488317513013</v>
      </c>
      <c r="X53" s="197">
        <f t="shared" si="4"/>
        <v>152.73990654010413</v>
      </c>
    </row>
    <row r="54" spans="1:24" ht="15">
      <c r="A54" s="15">
        <v>51</v>
      </c>
      <c r="B54" s="10">
        <v>290.6999047631761</v>
      </c>
      <c r="C54" s="1">
        <v>999.9999999999998</v>
      </c>
      <c r="D54" s="2" t="s">
        <v>21</v>
      </c>
      <c r="E54" s="11">
        <v>273.51567393973716</v>
      </c>
      <c r="F54" s="12">
        <v>336.0526019368824</v>
      </c>
      <c r="G54" s="4">
        <v>75</v>
      </c>
      <c r="H54" s="13">
        <v>194.3966111901535</v>
      </c>
      <c r="I54" s="16">
        <v>234.50447763952604</v>
      </c>
      <c r="J54" s="6">
        <v>50</v>
      </c>
      <c r="K54" s="14">
        <v>155.5172889521228</v>
      </c>
      <c r="L54" s="17">
        <v>156.30948073609014</v>
      </c>
      <c r="M54" s="8">
        <v>37.5</v>
      </c>
      <c r="O54" s="15">
        <v>51</v>
      </c>
      <c r="P54" s="10">
        <v>166.18507765376836</v>
      </c>
      <c r="Q54" s="11">
        <v>63.30856236817442</v>
      </c>
      <c r="R54" s="199">
        <v>46.04429024543965</v>
      </c>
      <c r="S54" s="14">
        <v>32.156519251404575</v>
      </c>
      <c r="T54" s="200">
        <f t="shared" si="0"/>
        <v>35.80048088216455</v>
      </c>
      <c r="U54" s="200">
        <f t="shared" si="1"/>
        <v>290.6999047631761</v>
      </c>
      <c r="V54" s="200">
        <f t="shared" si="2"/>
        <v>273.51567393973716</v>
      </c>
      <c r="W54" s="200">
        <f t="shared" si="3"/>
        <v>194.3966111901535</v>
      </c>
      <c r="X54" s="197">
        <f t="shared" si="4"/>
        <v>155.5172889521228</v>
      </c>
    </row>
    <row r="55" spans="1:24" ht="15">
      <c r="A55" s="15">
        <v>52</v>
      </c>
      <c r="B55" s="10">
        <v>295.88235857629047</v>
      </c>
      <c r="C55" s="1">
        <v>999.9999999999998</v>
      </c>
      <c r="D55" s="2" t="s">
        <v>21</v>
      </c>
      <c r="E55" s="11">
        <v>278.3917758033078</v>
      </c>
      <c r="F55" s="12">
        <v>336.06600652235534</v>
      </c>
      <c r="G55" s="4">
        <v>75</v>
      </c>
      <c r="H55" s="13">
        <v>197.86221761936665</v>
      </c>
      <c r="I55" s="16">
        <v>234.51733892291324</v>
      </c>
      <c r="J55" s="6">
        <v>50</v>
      </c>
      <c r="K55" s="14">
        <v>158.28977409549336</v>
      </c>
      <c r="L55" s="17">
        <v>156.31930082510945</v>
      </c>
      <c r="M55" s="8">
        <v>37.5</v>
      </c>
      <c r="O55" s="15">
        <v>52</v>
      </c>
      <c r="P55" s="10">
        <v>169.00648447388303</v>
      </c>
      <c r="Q55" s="11">
        <v>64.38565616297737</v>
      </c>
      <c r="R55" s="199">
        <v>46.82827989515876</v>
      </c>
      <c r="S55" s="14">
        <v>32.704274736110065</v>
      </c>
      <c r="T55" s="200">
        <f t="shared" si="0"/>
        <v>36.4387141103806</v>
      </c>
      <c r="U55" s="200">
        <f t="shared" si="1"/>
        <v>295.88235857629047</v>
      </c>
      <c r="V55" s="200">
        <f t="shared" si="2"/>
        <v>278.3917758033078</v>
      </c>
      <c r="W55" s="200">
        <f t="shared" si="3"/>
        <v>197.86221761936665</v>
      </c>
      <c r="X55" s="197">
        <f t="shared" si="4"/>
        <v>158.28977409549336</v>
      </c>
    </row>
    <row r="56" spans="1:24" ht="15">
      <c r="A56" s="15">
        <v>53</v>
      </c>
      <c r="B56" s="10">
        <v>301.0558499386802</v>
      </c>
      <c r="C56" s="1">
        <v>999.9999999999998</v>
      </c>
      <c r="D56" s="2" t="s">
        <v>21</v>
      </c>
      <c r="E56" s="11">
        <v>283.25944501619665</v>
      </c>
      <c r="F56" s="12">
        <v>336.07769731670385</v>
      </c>
      <c r="G56" s="4">
        <v>75</v>
      </c>
      <c r="H56" s="13">
        <v>201.32183068559527</v>
      </c>
      <c r="I56" s="16">
        <v>234.52855589500828</v>
      </c>
      <c r="J56" s="6">
        <v>50</v>
      </c>
      <c r="K56" s="14">
        <v>161.05746454847625</v>
      </c>
      <c r="L56" s="17">
        <v>156.32786542599717</v>
      </c>
      <c r="M56" s="8">
        <v>37.5</v>
      </c>
      <c r="O56" s="15">
        <v>53</v>
      </c>
      <c r="P56" s="10">
        <v>171.82771065107232</v>
      </c>
      <c r="Q56" s="11">
        <v>65.46246158139434</v>
      </c>
      <c r="R56" s="199">
        <v>47.611999934729276</v>
      </c>
      <c r="S56" s="14">
        <v>33.25181961866791</v>
      </c>
      <c r="T56" s="200">
        <f t="shared" si="0"/>
        <v>37.07584358850742</v>
      </c>
      <c r="U56" s="200">
        <f t="shared" si="1"/>
        <v>301.0558499386802</v>
      </c>
      <c r="V56" s="200">
        <f t="shared" si="2"/>
        <v>283.25944501619665</v>
      </c>
      <c r="W56" s="200">
        <f t="shared" si="3"/>
        <v>201.32183068559527</v>
      </c>
      <c r="X56" s="197">
        <f t="shared" si="4"/>
        <v>161.05746454847625</v>
      </c>
    </row>
    <row r="57" spans="1:24" ht="15">
      <c r="A57" s="15">
        <v>54</v>
      </c>
      <c r="B57" s="10">
        <v>306.22056303808404</v>
      </c>
      <c r="C57" s="1">
        <v>999.9999999999998</v>
      </c>
      <c r="D57" s="2" t="s">
        <v>21</v>
      </c>
      <c r="E57" s="11">
        <v>288.11885487819734</v>
      </c>
      <c r="F57" s="12">
        <v>336.0877821154367</v>
      </c>
      <c r="G57" s="4">
        <v>75</v>
      </c>
      <c r="H57" s="13">
        <v>204.77557355871878</v>
      </c>
      <c r="I57" s="16">
        <v>234.5382319752306</v>
      </c>
      <c r="J57" s="6">
        <v>50</v>
      </c>
      <c r="K57" s="14">
        <v>163.82045884697504</v>
      </c>
      <c r="L57" s="17">
        <v>156.3352535006326</v>
      </c>
      <c r="M57" s="8">
        <v>37.5</v>
      </c>
      <c r="O57" s="15">
        <v>54</v>
      </c>
      <c r="P57" s="10">
        <v>174.6487692891881</v>
      </c>
      <c r="Q57" s="11">
        <v>66.53898794784804</v>
      </c>
      <c r="R57" s="199">
        <v>48.39545832726965</v>
      </c>
      <c r="S57" s="14">
        <v>33.7991599006361</v>
      </c>
      <c r="T57" s="200">
        <f t="shared" si="0"/>
        <v>37.71189199976405</v>
      </c>
      <c r="U57" s="200">
        <f t="shared" si="1"/>
        <v>306.22056303808404</v>
      </c>
      <c r="V57" s="200">
        <f t="shared" si="2"/>
        <v>288.11885487819734</v>
      </c>
      <c r="W57" s="200">
        <f t="shared" si="3"/>
        <v>204.77557355871878</v>
      </c>
      <c r="X57" s="197">
        <f t="shared" si="4"/>
        <v>163.82045884697504</v>
      </c>
    </row>
    <row r="58" spans="1:24" ht="15">
      <c r="A58" s="15">
        <v>55</v>
      </c>
      <c r="B58" s="10">
        <v>311.3766749382051</v>
      </c>
      <c r="C58" s="1">
        <v>999.9999999999998</v>
      </c>
      <c r="D58" s="2" t="s">
        <v>21</v>
      </c>
      <c r="E58" s="11">
        <v>292.970171986193</v>
      </c>
      <c r="F58" s="12">
        <v>336.0963610251099</v>
      </c>
      <c r="G58" s="4">
        <v>75</v>
      </c>
      <c r="H58" s="13">
        <v>208.22356464463715</v>
      </c>
      <c r="I58" s="16">
        <v>234.5464632071852</v>
      </c>
      <c r="J58" s="6">
        <v>50</v>
      </c>
      <c r="K58" s="14">
        <v>166.57885171570976</v>
      </c>
      <c r="L58" s="17">
        <v>156.34153837978488</v>
      </c>
      <c r="M58" s="8">
        <v>37.5</v>
      </c>
      <c r="O58" s="15">
        <v>55</v>
      </c>
      <c r="P58" s="10">
        <v>177.46967232759556</v>
      </c>
      <c r="Q58" s="11">
        <v>67.61524399616128</v>
      </c>
      <c r="R58" s="199">
        <v>49.178662566271946</v>
      </c>
      <c r="S58" s="14">
        <v>34.34630124065748</v>
      </c>
      <c r="T58" s="200">
        <f t="shared" si="0"/>
        <v>38.34688115002526</v>
      </c>
      <c r="U58" s="200">
        <f t="shared" si="1"/>
        <v>311.3766749382051</v>
      </c>
      <c r="V58" s="200">
        <f t="shared" si="2"/>
        <v>292.970171986193</v>
      </c>
      <c r="W58" s="200">
        <f t="shared" si="3"/>
        <v>208.22356464463715</v>
      </c>
      <c r="X58" s="197">
        <f t="shared" si="4"/>
        <v>166.57885171570976</v>
      </c>
    </row>
    <row r="59" spans="1:24" ht="15">
      <c r="A59" s="15">
        <v>56</v>
      </c>
      <c r="B59" s="10">
        <v>316.5243559787137</v>
      </c>
      <c r="C59" s="1">
        <v>999.9999999999998</v>
      </c>
      <c r="D59" s="2" t="s">
        <v>21</v>
      </c>
      <c r="E59" s="11">
        <v>297.81355661051384</v>
      </c>
      <c r="F59" s="12">
        <v>336.1035271017688</v>
      </c>
      <c r="G59" s="4">
        <v>75</v>
      </c>
      <c r="H59" s="13">
        <v>211.66591785276051</v>
      </c>
      <c r="I59" s="16">
        <v>234.55333887099343</v>
      </c>
      <c r="J59" s="6">
        <v>50</v>
      </c>
      <c r="K59" s="14">
        <v>169.33273428220843</v>
      </c>
      <c r="L59" s="17">
        <v>156.34678823055407</v>
      </c>
      <c r="M59" s="8">
        <v>37.5</v>
      </c>
      <c r="O59" s="15">
        <v>56</v>
      </c>
      <c r="P59" s="10">
        <v>180.2904306629298</v>
      </c>
      <c r="Q59" s="11">
        <v>68.69123792226966</v>
      </c>
      <c r="R59" s="199">
        <v>49.96161971566598</v>
      </c>
      <c r="S59" s="14">
        <v>34.89324898308298</v>
      </c>
      <c r="T59" s="200">
        <f t="shared" si="0"/>
        <v>38.98083201708297</v>
      </c>
      <c r="U59" s="200">
        <f t="shared" si="1"/>
        <v>316.5243559787137</v>
      </c>
      <c r="V59" s="200">
        <f t="shared" si="2"/>
        <v>297.81355661051384</v>
      </c>
      <c r="W59" s="200">
        <f t="shared" si="3"/>
        <v>211.66591785276051</v>
      </c>
      <c r="X59" s="197">
        <f t="shared" si="4"/>
        <v>169.33273428220843</v>
      </c>
    </row>
    <row r="60" spans="1:24" ht="15">
      <c r="A60" s="15">
        <v>57</v>
      </c>
      <c r="B60" s="10">
        <v>321.66377014604984</v>
      </c>
      <c r="C60" s="1">
        <v>999.9999999999998</v>
      </c>
      <c r="D60" s="2" t="s">
        <v>21</v>
      </c>
      <c r="E60" s="11">
        <v>302.64916304382035</v>
      </c>
      <c r="F60" s="12">
        <v>336.1093669286144</v>
      </c>
      <c r="G60" s="4">
        <v>75</v>
      </c>
      <c r="H60" s="13">
        <v>215.10274284397178</v>
      </c>
      <c r="I60" s="16">
        <v>234.55894203734127</v>
      </c>
      <c r="J60" s="6">
        <v>75</v>
      </c>
      <c r="K60" s="14">
        <v>172.08219427517744</v>
      </c>
      <c r="L60" s="17">
        <v>156.3510664793271</v>
      </c>
      <c r="M60" s="8">
        <v>37.5</v>
      </c>
      <c r="O60" s="15">
        <v>57</v>
      </c>
      <c r="P60" s="10">
        <v>183.11105425627937</v>
      </c>
      <c r="Q60" s="11">
        <v>69.76697743112078</v>
      </c>
      <c r="R60" s="199">
        <v>50.74433644558356</v>
      </c>
      <c r="S60" s="14">
        <v>35.44000818356525</v>
      </c>
      <c r="T60" s="200">
        <f t="shared" si="0"/>
        <v>39.613764796311564</v>
      </c>
      <c r="U60" s="200">
        <f t="shared" si="1"/>
        <v>321.66377014604984</v>
      </c>
      <c r="V60" s="200">
        <f t="shared" si="2"/>
        <v>302.64916304382035</v>
      </c>
      <c r="W60" s="200">
        <f t="shared" si="3"/>
        <v>215.10274284397178</v>
      </c>
      <c r="X60" s="197">
        <f t="shared" si="4"/>
        <v>172.08219427517744</v>
      </c>
    </row>
    <row r="61" spans="1:24" ht="15">
      <c r="A61" s="15">
        <v>58</v>
      </c>
      <c r="B61" s="10">
        <v>326.79507541763644</v>
      </c>
      <c r="C61" s="1">
        <v>999.9999999999998</v>
      </c>
      <c r="D61" s="2" t="s">
        <v>21</v>
      </c>
      <c r="E61" s="11">
        <v>307.4771399249683</v>
      </c>
      <c r="F61" s="12">
        <v>336.1139611394027</v>
      </c>
      <c r="G61" s="4">
        <v>75</v>
      </c>
      <c r="H61" s="13">
        <v>218.5341452608086</v>
      </c>
      <c r="I61" s="16">
        <v>234.56335006949493</v>
      </c>
      <c r="J61" s="6">
        <v>75</v>
      </c>
      <c r="K61" s="14">
        <v>174.82731620864692</v>
      </c>
      <c r="L61" s="17">
        <v>156.3544321950162</v>
      </c>
      <c r="M61" s="8">
        <v>37.5</v>
      </c>
      <c r="O61" s="15">
        <v>58</v>
      </c>
      <c r="P61" s="10">
        <v>185.93155222776082</v>
      </c>
      <c r="Q61" s="11">
        <v>70.84246977850741</v>
      </c>
      <c r="R61" s="199">
        <v>51.52681906436671</v>
      </c>
      <c r="S61" s="14">
        <v>35.98658363200258</v>
      </c>
      <c r="T61" s="200">
        <f t="shared" si="0"/>
        <v>40.24569894305868</v>
      </c>
      <c r="U61" s="200">
        <f t="shared" si="1"/>
        <v>326.79507541763644</v>
      </c>
      <c r="V61" s="200">
        <f t="shared" si="2"/>
        <v>307.4771399249683</v>
      </c>
      <c r="W61" s="200">
        <f t="shared" si="3"/>
        <v>218.5341452608086</v>
      </c>
      <c r="X61" s="197">
        <f t="shared" si="4"/>
        <v>174.82731620864692</v>
      </c>
    </row>
    <row r="62" spans="1:24" ht="15">
      <c r="A62" s="15">
        <v>59</v>
      </c>
      <c r="B62" s="10">
        <v>331.91842408182833</v>
      </c>
      <c r="C62" s="1">
        <v>999.9999999999998</v>
      </c>
      <c r="D62" s="2" t="s">
        <v>21</v>
      </c>
      <c r="E62" s="11">
        <v>312.29763054004536</v>
      </c>
      <c r="F62" s="12">
        <v>336.1173848933195</v>
      </c>
      <c r="G62" s="4">
        <v>75</v>
      </c>
      <c r="H62" s="13">
        <v>221.9602269414197</v>
      </c>
      <c r="I62" s="16">
        <v>234.56663507878335</v>
      </c>
      <c r="J62" s="6">
        <v>75</v>
      </c>
      <c r="K62" s="14">
        <v>177.5681815531358</v>
      </c>
      <c r="L62" s="17">
        <v>156.35694043677793</v>
      </c>
      <c r="M62" s="8">
        <v>37.5</v>
      </c>
      <c r="O62" s="15">
        <v>59</v>
      </c>
      <c r="P62" s="10">
        <v>188.75193294014335</v>
      </c>
      <c r="Q62" s="11">
        <v>71.91772180847026</v>
      </c>
      <c r="R62" s="199">
        <v>52.30907354728309</v>
      </c>
      <c r="S62" s="14">
        <v>36.532979873156705</v>
      </c>
      <c r="T62" s="200">
        <f t="shared" si="0"/>
        <v>40.87665321204783</v>
      </c>
      <c r="U62" s="200">
        <f t="shared" si="1"/>
        <v>331.91842408182833</v>
      </c>
      <c r="V62" s="200">
        <f t="shared" si="2"/>
        <v>312.29763054004536</v>
      </c>
      <c r="W62" s="200">
        <f t="shared" si="3"/>
        <v>221.9602269414197</v>
      </c>
      <c r="X62" s="197">
        <f t="shared" si="4"/>
        <v>177.5681815531358</v>
      </c>
    </row>
    <row r="63" spans="1:24" ht="15">
      <c r="A63" s="15">
        <v>60</v>
      </c>
      <c r="B63" s="10">
        <v>337.03396303569554</v>
      </c>
      <c r="C63" s="1">
        <v>999.9999999999998</v>
      </c>
      <c r="D63" s="2" t="s">
        <v>21</v>
      </c>
      <c r="E63" s="11">
        <v>317.110773102551</v>
      </c>
      <c r="F63" s="12">
        <v>336.1197083064031</v>
      </c>
      <c r="G63" s="4">
        <v>75</v>
      </c>
      <c r="H63" s="13">
        <v>225.3810861186979</v>
      </c>
      <c r="I63" s="16">
        <v>234.56886433840813</v>
      </c>
      <c r="J63" s="6">
        <v>75</v>
      </c>
      <c r="K63" s="14">
        <v>180.30486889495833</v>
      </c>
      <c r="L63" s="17">
        <v>156.35864256992184</v>
      </c>
      <c r="M63" s="8">
        <v>37.5</v>
      </c>
      <c r="O63" s="15">
        <v>60</v>
      </c>
      <c r="P63" s="10">
        <v>191.5722040729474</v>
      </c>
      <c r="Q63" s="11">
        <v>72.99273998681807</v>
      </c>
      <c r="R63" s="199">
        <v>53.09110556234813</v>
      </c>
      <c r="S63" s="14">
        <v>37.07920122522441</v>
      </c>
      <c r="T63" s="200">
        <f t="shared" si="0"/>
        <v>41.50664569405118</v>
      </c>
      <c r="U63" s="200">
        <f t="shared" si="1"/>
        <v>337.03396303569554</v>
      </c>
      <c r="V63" s="200">
        <f t="shared" si="2"/>
        <v>317.110773102551</v>
      </c>
      <c r="W63" s="200">
        <f t="shared" si="3"/>
        <v>225.3810861186979</v>
      </c>
      <c r="X63" s="197">
        <f t="shared" si="4"/>
        <v>180.30486889495833</v>
      </c>
    </row>
    <row r="64" spans="1:24" ht="15">
      <c r="A64" s="15">
        <v>61</v>
      </c>
      <c r="B64" s="10">
        <v>342.14183406251914</v>
      </c>
      <c r="C64" s="1">
        <v>999.9999999999998</v>
      </c>
      <c r="D64" s="2" t="s">
        <v>21</v>
      </c>
      <c r="E64" s="11">
        <v>321.91670101448847</v>
      </c>
      <c r="F64" s="12">
        <v>336.1209968439849</v>
      </c>
      <c r="G64" s="4">
        <v>75</v>
      </c>
      <c r="H64" s="13">
        <v>228.79681760584717</v>
      </c>
      <c r="I64" s="16">
        <v>234.5701006598755</v>
      </c>
      <c r="J64" s="6">
        <v>75</v>
      </c>
      <c r="K64" s="14">
        <v>183.03745408467776</v>
      </c>
      <c r="L64" s="17">
        <v>156.3595865532885</v>
      </c>
      <c r="M64" s="8">
        <v>50</v>
      </c>
      <c r="O64" s="15">
        <v>61</v>
      </c>
      <c r="P64" s="10">
        <v>194.3923726882371</v>
      </c>
      <c r="Q64" s="11">
        <v>74.06753043123625</v>
      </c>
      <c r="R64" s="199">
        <v>53.87292049359906</v>
      </c>
      <c r="S64" s="14">
        <v>37.625251796604196</v>
      </c>
      <c r="T64" s="200">
        <f t="shared" si="0"/>
        <v>42.13569385006394</v>
      </c>
      <c r="U64" s="200">
        <f t="shared" si="1"/>
        <v>342.14183406251914</v>
      </c>
      <c r="V64" s="200">
        <f t="shared" si="2"/>
        <v>321.91670101448847</v>
      </c>
      <c r="W64" s="200">
        <f t="shared" si="3"/>
        <v>228.79681760584717</v>
      </c>
      <c r="X64" s="197">
        <f t="shared" si="4"/>
        <v>183.03745408467776</v>
      </c>
    </row>
    <row r="65" spans="1:24" ht="15">
      <c r="A65" s="15">
        <v>62</v>
      </c>
      <c r="B65" s="10">
        <v>347.2421740906874</v>
      </c>
      <c r="C65" s="1">
        <v>999.9999999999998</v>
      </c>
      <c r="D65" s="2" t="s">
        <v>21</v>
      </c>
      <c r="E65" s="11">
        <v>326.7155431099571</v>
      </c>
      <c r="F65" s="12">
        <v>336.1213116781298</v>
      </c>
      <c r="G65" s="4">
        <v>100</v>
      </c>
      <c r="H65" s="13">
        <v>232.20751296951138</v>
      </c>
      <c r="I65" s="16">
        <v>234.57040273585469</v>
      </c>
      <c r="J65" s="6">
        <v>75</v>
      </c>
      <c r="K65" s="14">
        <v>185.76601037560914</v>
      </c>
      <c r="L65" s="17">
        <v>156.3598172009988</v>
      </c>
      <c r="M65" s="8">
        <v>50</v>
      </c>
      <c r="O65" s="15">
        <v>62</v>
      </c>
      <c r="P65" s="10">
        <v>197.2124452891523</v>
      </c>
      <c r="Q65" s="11">
        <v>75.14209893839133</v>
      </c>
      <c r="R65" s="199">
        <v>54.65452346211834</v>
      </c>
      <c r="S65" s="14">
        <v>38.17113550106727</v>
      </c>
      <c r="T65" s="200">
        <f t="shared" si="0"/>
        <v>42.763814543188104</v>
      </c>
      <c r="U65" s="200">
        <f t="shared" si="1"/>
        <v>347.2421740906874</v>
      </c>
      <c r="V65" s="200">
        <f t="shared" si="2"/>
        <v>326.7155431099571</v>
      </c>
      <c r="W65" s="200">
        <f t="shared" si="3"/>
        <v>232.20751296951138</v>
      </c>
      <c r="X65" s="197">
        <f t="shared" si="4"/>
        <v>185.76601037560914</v>
      </c>
    </row>
    <row r="66" spans="1:24" ht="15">
      <c r="A66" s="15">
        <v>63</v>
      </c>
      <c r="B66" s="10">
        <v>352.3351154355253</v>
      </c>
      <c r="C66" s="1">
        <v>999.9999999999998</v>
      </c>
      <c r="D66" s="2" t="s">
        <v>21</v>
      </c>
      <c r="E66" s="11">
        <v>331.5074238826864</v>
      </c>
      <c r="F66" s="12">
        <v>336.12071001358333</v>
      </c>
      <c r="G66" s="4">
        <v>100</v>
      </c>
      <c r="H66" s="13">
        <v>235.61326069149047</v>
      </c>
      <c r="I66" s="16">
        <v>234.56982545284197</v>
      </c>
      <c r="J66" s="6">
        <v>75</v>
      </c>
      <c r="K66" s="14">
        <v>188.4906085531924</v>
      </c>
      <c r="L66" s="17">
        <v>156.35937642115232</v>
      </c>
      <c r="M66" s="8">
        <v>50</v>
      </c>
      <c r="O66" s="15">
        <v>63</v>
      </c>
      <c r="P66" s="10">
        <v>200.03242787207273</v>
      </c>
      <c r="Q66" s="11">
        <v>76.21645100837934</v>
      </c>
      <c r="R66" s="199">
        <v>55.43591934506323</v>
      </c>
      <c r="S66" s="14">
        <v>38.71685607151234</v>
      </c>
      <c r="T66" s="200">
        <f t="shared" si="0"/>
        <v>43.39102406841445</v>
      </c>
      <c r="U66" s="200">
        <f t="shared" si="1"/>
        <v>352.3351154355253</v>
      </c>
      <c r="V66" s="200">
        <f t="shared" si="2"/>
        <v>331.5074238826864</v>
      </c>
      <c r="W66" s="200">
        <f t="shared" si="3"/>
        <v>235.61326069149047</v>
      </c>
      <c r="X66" s="197">
        <f t="shared" si="4"/>
        <v>188.4906085531924</v>
      </c>
    </row>
    <row r="67" spans="1:24" ht="15">
      <c r="A67" s="15">
        <v>64</v>
      </c>
      <c r="B67" s="10">
        <v>357.42078602543097</v>
      </c>
      <c r="C67" s="1">
        <v>999.9999999999998</v>
      </c>
      <c r="D67" s="2" t="s">
        <v>21</v>
      </c>
      <c r="E67" s="11">
        <v>336.2924636988045</v>
      </c>
      <c r="F67" s="12">
        <v>336.11924538536243</v>
      </c>
      <c r="G67" s="4">
        <v>100</v>
      </c>
      <c r="H67" s="13">
        <v>239.01414631996184</v>
      </c>
      <c r="I67" s="16">
        <v>234.56842017662066</v>
      </c>
      <c r="J67" s="6">
        <v>75</v>
      </c>
      <c r="K67" s="14">
        <v>191.2113170559695</v>
      </c>
      <c r="L67" s="17">
        <v>156.35830343376222</v>
      </c>
      <c r="M67" s="8">
        <v>50</v>
      </c>
      <c r="O67" s="15">
        <v>64</v>
      </c>
      <c r="P67" s="10">
        <v>202.85232597320962</v>
      </c>
      <c r="Q67" s="11">
        <v>77.29059186683037</v>
      </c>
      <c r="R67" s="199">
        <v>56.21711279293002</v>
      </c>
      <c r="S67" s="14">
        <v>39.262417072465354</v>
      </c>
      <c r="T67" s="200">
        <f t="shared" si="0"/>
        <v>44.017338180471796</v>
      </c>
      <c r="U67" s="200">
        <f t="shared" si="1"/>
        <v>357.42078602543097</v>
      </c>
      <c r="V67" s="200">
        <f t="shared" si="2"/>
        <v>336.2924636988045</v>
      </c>
      <c r="W67" s="200">
        <f t="shared" si="3"/>
        <v>239.01414631996184</v>
      </c>
      <c r="X67" s="197">
        <f t="shared" si="4"/>
        <v>191.2113170559695</v>
      </c>
    </row>
    <row r="68" spans="1:24" ht="15">
      <c r="A68" s="15">
        <v>65</v>
      </c>
      <c r="B68" s="10">
        <v>362.4993096135663</v>
      </c>
      <c r="C68" s="1">
        <v>999.9999999999998</v>
      </c>
      <c r="D68" s="2" t="s">
        <v>21</v>
      </c>
      <c r="E68" s="11">
        <v>341.0707789960156</v>
      </c>
      <c r="F68" s="12">
        <v>336.11696793076754</v>
      </c>
      <c r="G68" s="4">
        <v>100</v>
      </c>
      <c r="H68" s="13">
        <v>242.4102526110425</v>
      </c>
      <c r="I68" s="16">
        <v>234.56623501319632</v>
      </c>
      <c r="J68" s="6">
        <v>75</v>
      </c>
      <c r="K68" s="14">
        <v>193.928202088834</v>
      </c>
      <c r="L68" s="17">
        <v>156.35663496996537</v>
      </c>
      <c r="M68" s="8">
        <v>50</v>
      </c>
      <c r="O68" s="15">
        <v>65</v>
      </c>
      <c r="P68" s="10">
        <v>205.67214471026685</v>
      </c>
      <c r="Q68" s="11">
        <v>78.36452648492438</v>
      </c>
      <c r="R68" s="199">
        <v>56.99810824524186</v>
      </c>
      <c r="S68" s="14">
        <v>39.807821911456735</v>
      </c>
      <c r="T68" s="200">
        <f t="shared" si="0"/>
        <v>44.64277211989733</v>
      </c>
      <c r="U68" s="200">
        <f t="shared" si="1"/>
        <v>362.4993096135663</v>
      </c>
      <c r="V68" s="200">
        <f t="shared" si="2"/>
        <v>341.0707789960156</v>
      </c>
      <c r="W68" s="200">
        <f t="shared" si="3"/>
        <v>242.4102526110425</v>
      </c>
      <c r="X68" s="197">
        <f t="shared" si="4"/>
        <v>193.928202088834</v>
      </c>
    </row>
    <row r="69" spans="1:24" ht="15">
      <c r="A69" s="15">
        <v>66</v>
      </c>
      <c r="B69" s="10">
        <v>367.5708059762364</v>
      </c>
      <c r="C69" s="1">
        <v>999.9999999999998</v>
      </c>
      <c r="D69" s="2" t="s">
        <v>21</v>
      </c>
      <c r="E69" s="11">
        <v>345.842482470252</v>
      </c>
      <c r="F69" s="12">
        <v>336.1139246382954</v>
      </c>
      <c r="G69" s="4">
        <v>100</v>
      </c>
      <c r="H69" s="13">
        <v>245.80165966144872</v>
      </c>
      <c r="I69" s="16">
        <v>234.56331504757085</v>
      </c>
      <c r="J69" s="6">
        <v>75</v>
      </c>
      <c r="K69" s="14">
        <v>196.641327729159</v>
      </c>
      <c r="L69" s="17">
        <v>156.3544054543179</v>
      </c>
      <c r="M69" s="8">
        <v>50</v>
      </c>
      <c r="O69" s="15">
        <v>66</v>
      </c>
      <c r="P69" s="10">
        <v>208.49188881978992</v>
      </c>
      <c r="Q69" s="11">
        <v>79.43825959756182</v>
      </c>
      <c r="R69" s="199">
        <v>57.778909944839285</v>
      </c>
      <c r="S69" s="14">
        <v>40.35307384940229</v>
      </c>
      <c r="T69" s="200">
        <f aca="true" t="shared" si="5" ref="T69:T108">+POWER(A69,0.91)</f>
        <v>45.26734063746754</v>
      </c>
      <c r="U69" s="200">
        <f aca="true" t="shared" si="6" ref="U69:U108">+T69*$U$3</f>
        <v>367.5708059762364</v>
      </c>
      <c r="V69" s="200">
        <f aca="true" t="shared" si="7" ref="V69:V108">+T69*$V$3</f>
        <v>345.842482470252</v>
      </c>
      <c r="W69" s="200">
        <f aca="true" t="shared" si="8" ref="W69:W108">+T69*$W$3</f>
        <v>245.80165966144872</v>
      </c>
      <c r="X69" s="197">
        <f aca="true" t="shared" si="9" ref="X69:X108">+T69*$X$3</f>
        <v>196.641327729159</v>
      </c>
    </row>
    <row r="70" spans="1:24" ht="15">
      <c r="A70" s="15">
        <v>67</v>
      </c>
      <c r="B70" s="10">
        <v>372.63539109898</v>
      </c>
      <c r="C70" s="1">
        <v>999.9999999999998</v>
      </c>
      <c r="D70" s="2" t="s">
        <v>21</v>
      </c>
      <c r="E70" s="11">
        <v>350.60768325076447</v>
      </c>
      <c r="F70" s="12">
        <v>336.1101595756669</v>
      </c>
      <c r="G70" s="4">
        <v>100</v>
      </c>
      <c r="H70" s="13">
        <v>249.1884450329386</v>
      </c>
      <c r="I70" s="16">
        <v>234.55970256248952</v>
      </c>
      <c r="J70" s="6">
        <v>75</v>
      </c>
      <c r="K70" s="14">
        <v>199.35075602635092</v>
      </c>
      <c r="L70" s="17">
        <v>156.3516471717997</v>
      </c>
      <c r="M70" s="8">
        <v>50</v>
      </c>
      <c r="O70" s="15">
        <v>67</v>
      </c>
      <c r="P70" s="10">
        <v>211.31156269067912</v>
      </c>
      <c r="Q70" s="11">
        <v>80.51179571988129</v>
      </c>
      <c r="R70" s="199">
        <v>58.55952195091641</v>
      </c>
      <c r="S70" s="14">
        <v>40.89817601008853</v>
      </c>
      <c r="T70" s="200">
        <f t="shared" si="5"/>
        <v>45.89105801711577</v>
      </c>
      <c r="U70" s="200">
        <f t="shared" si="6"/>
        <v>372.63539109898</v>
      </c>
      <c r="V70" s="200">
        <f t="shared" si="7"/>
        <v>350.60768325076447</v>
      </c>
      <c r="W70" s="200">
        <f t="shared" si="8"/>
        <v>249.1884450329386</v>
      </c>
      <c r="X70" s="197">
        <f t="shared" si="9"/>
        <v>199.35075602635092</v>
      </c>
    </row>
    <row r="71" spans="1:24" ht="15">
      <c r="A71" s="15">
        <v>68</v>
      </c>
      <c r="B71" s="10">
        <v>377.69317735130574</v>
      </c>
      <c r="C71" s="1">
        <v>999.9999999999998</v>
      </c>
      <c r="D71" s="2" t="s">
        <v>21</v>
      </c>
      <c r="E71" s="11">
        <v>355.36648706452905</v>
      </c>
      <c r="F71" s="12">
        <v>336.10571409894305</v>
      </c>
      <c r="G71" s="4">
        <v>100</v>
      </c>
      <c r="H71" s="13">
        <v>252.57068386916137</v>
      </c>
      <c r="I71" s="16">
        <v>234.55543723904833</v>
      </c>
      <c r="J71" s="6">
        <v>75</v>
      </c>
      <c r="K71" s="14">
        <v>202.0565470953291</v>
      </c>
      <c r="L71" s="17">
        <v>156.34839042097224</v>
      </c>
      <c r="M71" s="8">
        <v>50</v>
      </c>
      <c r="O71" s="15">
        <v>68</v>
      </c>
      <c r="P71" s="10">
        <v>214.1311703943222</v>
      </c>
      <c r="Q71" s="11">
        <v>81.58513916230639</v>
      </c>
      <c r="R71" s="199">
        <v>59.3399481509374</v>
      </c>
      <c r="S71" s="14">
        <v>41.44313138885756</v>
      </c>
      <c r="T71" s="200">
        <f t="shared" si="5"/>
        <v>46.51393809745145</v>
      </c>
      <c r="U71" s="200">
        <f t="shared" si="6"/>
        <v>377.69317735130574</v>
      </c>
      <c r="V71" s="200">
        <f t="shared" si="7"/>
        <v>355.36648706452905</v>
      </c>
      <c r="W71" s="200">
        <f t="shared" si="8"/>
        <v>252.57068386916137</v>
      </c>
      <c r="X71" s="197">
        <f t="shared" si="9"/>
        <v>202.0565470953291</v>
      </c>
    </row>
    <row r="72" spans="1:24" ht="15">
      <c r="A72" s="15">
        <v>69</v>
      </c>
      <c r="B72" s="10">
        <v>382.7442736509236</v>
      </c>
      <c r="C72" s="1">
        <v>999.9999999999998</v>
      </c>
      <c r="D72" s="2" t="s">
        <v>21</v>
      </c>
      <c r="E72" s="11">
        <v>360.1189963907705</v>
      </c>
      <c r="F72" s="12">
        <v>336.1006270445025</v>
      </c>
      <c r="G72" s="4">
        <v>100</v>
      </c>
      <c r="H72" s="13">
        <v>255.9484490054822</v>
      </c>
      <c r="I72" s="16">
        <v>234.55055634085997</v>
      </c>
      <c r="J72" s="6">
        <v>75</v>
      </c>
      <c r="K72" s="14">
        <v>204.7587592043858</v>
      </c>
      <c r="L72" s="17">
        <v>156.3446636545855</v>
      </c>
      <c r="M72" s="8">
        <v>50</v>
      </c>
      <c r="O72" s="15">
        <v>69</v>
      </c>
      <c r="P72" s="10">
        <v>216.9507157117277</v>
      </c>
      <c r="Q72" s="11">
        <v>82.65829404427606</v>
      </c>
      <c r="R72" s="199">
        <v>60.120192271548056</v>
      </c>
      <c r="S72" s="14">
        <v>41.98794286057236</v>
      </c>
      <c r="T72" s="200">
        <f t="shared" si="5"/>
        <v>47.135994291985675</v>
      </c>
      <c r="U72" s="200">
        <f t="shared" si="6"/>
        <v>382.7442736509236</v>
      </c>
      <c r="V72" s="200">
        <f t="shared" si="7"/>
        <v>360.1189963907705</v>
      </c>
      <c r="W72" s="200">
        <f t="shared" si="8"/>
        <v>255.9484490054822</v>
      </c>
      <c r="X72" s="197">
        <f t="shared" si="9"/>
        <v>204.7587592043858</v>
      </c>
    </row>
    <row r="73" spans="1:24" ht="15">
      <c r="A73" s="15">
        <v>70</v>
      </c>
      <c r="B73" s="10">
        <v>387.788785618247</v>
      </c>
      <c r="C73" s="1">
        <v>999.9999999999998</v>
      </c>
      <c r="D73" s="2" t="s">
        <v>21</v>
      </c>
      <c r="E73" s="11">
        <v>364.8653106063309</v>
      </c>
      <c r="F73" s="12">
        <v>336.09493490546083</v>
      </c>
      <c r="G73" s="4">
        <v>100</v>
      </c>
      <c r="H73" s="13">
        <v>259.32181107230065</v>
      </c>
      <c r="I73" s="16">
        <v>234.54509488330046</v>
      </c>
      <c r="J73" s="6">
        <v>75</v>
      </c>
      <c r="K73" s="14">
        <v>207.45744885784055</v>
      </c>
      <c r="L73" s="17">
        <v>156.34049360879453</v>
      </c>
      <c r="M73" s="8">
        <v>50</v>
      </c>
      <c r="O73" s="15">
        <v>70</v>
      </c>
      <c r="P73" s="10">
        <v>219.77020215799695</v>
      </c>
      <c r="Q73" s="11">
        <v>83.73126430679622</v>
      </c>
      <c r="R73" s="199">
        <v>60.900257888585145</v>
      </c>
      <c r="S73" s="14">
        <v>42.53261318693528</v>
      </c>
      <c r="T73" s="200">
        <f t="shared" si="5"/>
        <v>47.7572396081585</v>
      </c>
      <c r="U73" s="200">
        <f t="shared" si="6"/>
        <v>387.788785618247</v>
      </c>
      <c r="V73" s="200">
        <f t="shared" si="7"/>
        <v>364.8653106063309</v>
      </c>
      <c r="W73" s="200">
        <f t="shared" si="8"/>
        <v>259.32181107230065</v>
      </c>
      <c r="X73" s="197">
        <f t="shared" si="9"/>
        <v>207.45744885784055</v>
      </c>
    </row>
    <row r="74" spans="1:24" ht="15">
      <c r="A74" s="15">
        <v>71</v>
      </c>
      <c r="B74" s="10">
        <v>392.8268157218708</v>
      </c>
      <c r="C74" s="1">
        <v>999.9999999999998</v>
      </c>
      <c r="D74" s="2" t="s">
        <v>21</v>
      </c>
      <c r="E74" s="11">
        <v>369.6055261225484</v>
      </c>
      <c r="F74" s="12">
        <v>336.0886719939589</v>
      </c>
      <c r="G74" s="4">
        <v>100</v>
      </c>
      <c r="H74" s="13">
        <v>262.6908385923348</v>
      </c>
      <c r="I74" s="16">
        <v>234.53908578919905</v>
      </c>
      <c r="J74" s="6">
        <v>75</v>
      </c>
      <c r="K74" s="14">
        <v>210.15267087386786</v>
      </c>
      <c r="L74" s="17">
        <v>156.33590542202518</v>
      </c>
      <c r="M74" s="8">
        <v>50</v>
      </c>
      <c r="O74" s="15">
        <v>71</v>
      </c>
      <c r="P74" s="10">
        <v>222.5896330044165</v>
      </c>
      <c r="Q74" s="11">
        <v>84.80405372392856</v>
      </c>
      <c r="R74" s="199">
        <v>61.68014843627005</v>
      </c>
      <c r="S74" s="14">
        <v>43.07714502322086</v>
      </c>
      <c r="T74" s="200">
        <f t="shared" si="5"/>
        <v>48.37768666525503</v>
      </c>
      <c r="U74" s="200">
        <f t="shared" si="6"/>
        <v>392.8268157218708</v>
      </c>
      <c r="V74" s="200">
        <f t="shared" si="7"/>
        <v>369.6055261225484</v>
      </c>
      <c r="W74" s="200">
        <f t="shared" si="8"/>
        <v>262.6908385923348</v>
      </c>
      <c r="X74" s="197">
        <f t="shared" si="9"/>
        <v>210.15267087386786</v>
      </c>
    </row>
    <row r="75" spans="1:24" ht="15">
      <c r="A75" s="15">
        <v>72</v>
      </c>
      <c r="B75" s="10">
        <v>397.858463415673</v>
      </c>
      <c r="C75" s="1">
        <v>999.9999999999998</v>
      </c>
      <c r="D75" s="2" t="s">
        <v>21</v>
      </c>
      <c r="E75" s="11">
        <v>374.33973651425396</v>
      </c>
      <c r="F75" s="12">
        <v>336.08187059058776</v>
      </c>
      <c r="G75" s="4">
        <v>100</v>
      </c>
      <c r="H75" s="13">
        <v>266.0555980723035</v>
      </c>
      <c r="I75" s="16">
        <v>234.53256003219022</v>
      </c>
      <c r="J75" s="6">
        <v>75</v>
      </c>
      <c r="K75" s="14">
        <v>212.84447845784283</v>
      </c>
      <c r="L75" s="17">
        <v>156.3309227444242</v>
      </c>
      <c r="M75" s="8">
        <v>50</v>
      </c>
      <c r="O75" s="15">
        <v>72</v>
      </c>
      <c r="P75" s="10">
        <v>225.40901129846233</v>
      </c>
      <c r="Q75" s="11">
        <v>85.87666591333456</v>
      </c>
      <c r="R75" s="199">
        <v>62.4598672156748</v>
      </c>
      <c r="S75" s="14">
        <v>43.62154092448556</v>
      </c>
      <c r="T75" s="200">
        <f t="shared" si="5"/>
        <v>48.997347711289784</v>
      </c>
      <c r="U75" s="200">
        <f t="shared" si="6"/>
        <v>397.858463415673</v>
      </c>
      <c r="V75" s="200">
        <f t="shared" si="7"/>
        <v>374.33973651425396</v>
      </c>
      <c r="W75" s="200">
        <f t="shared" si="8"/>
        <v>266.0555980723035</v>
      </c>
      <c r="X75" s="197">
        <f t="shared" si="9"/>
        <v>212.84447845784283</v>
      </c>
    </row>
    <row r="76" spans="1:24" ht="15">
      <c r="A76" s="15">
        <v>73</v>
      </c>
      <c r="B76" s="10">
        <v>402.8838252681324</v>
      </c>
      <c r="C76" s="1">
        <v>999.9999999999998</v>
      </c>
      <c r="D76" s="2" t="s">
        <v>21</v>
      </c>
      <c r="E76" s="11">
        <v>379.0680326414448</v>
      </c>
      <c r="F76" s="12">
        <v>336.0745610821172</v>
      </c>
      <c r="G76" s="4">
        <v>100</v>
      </c>
      <c r="H76" s="13">
        <v>269.41615408940385</v>
      </c>
      <c r="I76" s="16">
        <v>234.52554676884458</v>
      </c>
      <c r="J76" s="6">
        <v>75</v>
      </c>
      <c r="K76" s="14">
        <v>215.5329232715231</v>
      </c>
      <c r="L76" s="17">
        <v>156.3255678387391</v>
      </c>
      <c r="M76" s="8">
        <v>50</v>
      </c>
      <c r="O76" s="15">
        <v>73</v>
      </c>
      <c r="P76" s="10">
        <v>228.2283398818875</v>
      </c>
      <c r="Q76" s="11">
        <v>86.9491043459501</v>
      </c>
      <c r="R76" s="199">
        <v>63.23941740251736</v>
      </c>
      <c r="S76" s="14">
        <v>44.1658033512947</v>
      </c>
      <c r="T76" s="200">
        <f t="shared" si="5"/>
        <v>49.61623463893257</v>
      </c>
      <c r="U76" s="200">
        <f t="shared" si="6"/>
        <v>402.8838252681324</v>
      </c>
      <c r="V76" s="200">
        <f t="shared" si="7"/>
        <v>379.0680326414448</v>
      </c>
      <c r="W76" s="200">
        <f t="shared" si="8"/>
        <v>269.41615408940385</v>
      </c>
      <c r="X76" s="197">
        <f t="shared" si="9"/>
        <v>215.5329232715231</v>
      </c>
    </row>
    <row r="77" spans="1:24" ht="15">
      <c r="A77" s="15">
        <v>74</v>
      </c>
      <c r="B77" s="10">
        <v>407.90299508440387</v>
      </c>
      <c r="C77" s="1">
        <v>999.9999999999998</v>
      </c>
      <c r="D77" s="2" t="s">
        <v>21</v>
      </c>
      <c r="E77" s="11">
        <v>383.7905027641436</v>
      </c>
      <c r="F77" s="12">
        <v>336.0667720885387</v>
      </c>
      <c r="G77" s="4">
        <v>100</v>
      </c>
      <c r="H77" s="13">
        <v>272.772569372945</v>
      </c>
      <c r="I77" s="16">
        <v>234.51807346055404</v>
      </c>
      <c r="J77" s="6">
        <v>75</v>
      </c>
      <c r="K77" s="14">
        <v>218.218055498356</v>
      </c>
      <c r="L77" s="17">
        <v>156.3198616733779</v>
      </c>
      <c r="M77" s="8">
        <v>50</v>
      </c>
      <c r="O77" s="15">
        <v>74</v>
      </c>
      <c r="P77" s="10">
        <v>231.04762140715914</v>
      </c>
      <c r="Q77" s="11">
        <v>88.0213723548966</v>
      </c>
      <c r="R77" s="199">
        <v>64.0188020543655</v>
      </c>
      <c r="S77" s="14">
        <v>44.70993467502271</v>
      </c>
      <c r="T77" s="200">
        <f t="shared" si="5"/>
        <v>50.234359000542355</v>
      </c>
      <c r="U77" s="200">
        <f t="shared" si="6"/>
        <v>407.90299508440387</v>
      </c>
      <c r="V77" s="200">
        <f t="shared" si="7"/>
        <v>383.7905027641436</v>
      </c>
      <c r="W77" s="200">
        <f t="shared" si="8"/>
        <v>272.772569372945</v>
      </c>
      <c r="X77" s="197">
        <f t="shared" si="9"/>
        <v>218.218055498356</v>
      </c>
    </row>
    <row r="78" spans="1:24" ht="15">
      <c r="A78" s="15">
        <v>75</v>
      </c>
      <c r="B78" s="10">
        <v>412.9160640216485</v>
      </c>
      <c r="C78" s="1">
        <v>999.9999999999998</v>
      </c>
      <c r="D78" s="2" t="s">
        <v>21</v>
      </c>
      <c r="E78" s="11">
        <v>388.5072326509106</v>
      </c>
      <c r="F78" s="12">
        <v>336.0585305803792</v>
      </c>
      <c r="G78" s="4">
        <v>100</v>
      </c>
      <c r="H78" s="13">
        <v>276.1249048814718</v>
      </c>
      <c r="I78" s="16">
        <v>234.510165986077</v>
      </c>
      <c r="J78" s="6">
        <v>75</v>
      </c>
      <c r="K78" s="14">
        <v>220.8999239051775</v>
      </c>
      <c r="L78" s="17">
        <v>156.31382400833797</v>
      </c>
      <c r="M78" s="8">
        <v>50</v>
      </c>
      <c r="O78" s="15">
        <v>75</v>
      </c>
      <c r="P78" s="10">
        <v>233.8668583523635</v>
      </c>
      <c r="Q78" s="11">
        <v>89.09347314368338</v>
      </c>
      <c r="R78" s="199">
        <v>64.79802411729051</v>
      </c>
      <c r="S78" s="14">
        <v>45.253937182756516</v>
      </c>
      <c r="T78" s="200">
        <f t="shared" si="5"/>
        <v>50.851732022370506</v>
      </c>
      <c r="U78" s="200">
        <f t="shared" si="6"/>
        <v>412.9160640216485</v>
      </c>
      <c r="V78" s="200">
        <f t="shared" si="7"/>
        <v>388.5072326509106</v>
      </c>
      <c r="W78" s="200">
        <f t="shared" si="8"/>
        <v>276.1249048814718</v>
      </c>
      <c r="X78" s="197">
        <f t="shared" si="9"/>
        <v>220.8999239051775</v>
      </c>
    </row>
    <row r="79" spans="1:24" ht="15">
      <c r="A79" s="15">
        <v>76</v>
      </c>
      <c r="B79" s="10">
        <v>417.92312069808156</v>
      </c>
      <c r="C79" s="1">
        <v>999.9999999999998</v>
      </c>
      <c r="D79" s="2" t="s">
        <v>21</v>
      </c>
      <c r="E79" s="11">
        <v>393.2183056814462</v>
      </c>
      <c r="F79" s="12">
        <v>336.0498619871079</v>
      </c>
      <c r="G79" s="4">
        <v>100</v>
      </c>
      <c r="H79" s="13">
        <v>279.47321987568756</v>
      </c>
      <c r="I79" s="16">
        <v>234.50184874554887</v>
      </c>
      <c r="J79" s="6">
        <v>75</v>
      </c>
      <c r="K79" s="14">
        <v>223.57857590055008</v>
      </c>
      <c r="L79" s="17">
        <v>156.30747347461903</v>
      </c>
      <c r="M79" s="8">
        <v>50</v>
      </c>
      <c r="O79" s="15">
        <v>76</v>
      </c>
      <c r="P79" s="10">
        <v>236.68605303476986</v>
      </c>
      <c r="Q79" s="11">
        <v>90.16540979377922</v>
      </c>
      <c r="R79" s="199">
        <v>65.57708643202976</v>
      </c>
      <c r="S79" s="14">
        <v>45.7978130818437</v>
      </c>
      <c r="T79" s="200">
        <f t="shared" si="5"/>
        <v>51.468364617990346</v>
      </c>
      <c r="U79" s="200">
        <f t="shared" si="6"/>
        <v>417.92312069808156</v>
      </c>
      <c r="V79" s="200">
        <f t="shared" si="7"/>
        <v>393.2183056814462</v>
      </c>
      <c r="W79" s="200">
        <f t="shared" si="8"/>
        <v>279.47321987568756</v>
      </c>
      <c r="X79" s="197">
        <f t="shared" si="9"/>
        <v>223.57857590055008</v>
      </c>
    </row>
    <row r="80" spans="1:24" ht="15">
      <c r="A80" s="15">
        <v>77</v>
      </c>
      <c r="B80" s="10">
        <v>422.92425129614776</v>
      </c>
      <c r="C80" s="1">
        <v>999.9999999999998</v>
      </c>
      <c r="D80" s="2" t="s">
        <v>21</v>
      </c>
      <c r="E80" s="11">
        <v>397.92380294366615</v>
      </c>
      <c r="F80" s="12">
        <v>336.0407902974157</v>
      </c>
      <c r="G80" s="4">
        <v>100</v>
      </c>
      <c r="H80" s="13">
        <v>282.81757198744856</v>
      </c>
      <c r="I80" s="16">
        <v>234.49314475668558</v>
      </c>
      <c r="J80" s="6">
        <v>75</v>
      </c>
      <c r="K80" s="14">
        <v>226.25405758995888</v>
      </c>
      <c r="L80" s="17">
        <v>156.30082764767542</v>
      </c>
      <c r="M80" s="8">
        <v>50</v>
      </c>
      <c r="O80" s="15">
        <v>77</v>
      </c>
      <c r="P80" s="10">
        <v>239.50520762318584</v>
      </c>
      <c r="Q80" s="11">
        <v>91.2371852716101</v>
      </c>
      <c r="R80" s="199">
        <v>66.35599173970088</v>
      </c>
      <c r="S80" s="14">
        <v>46.34156450411596</v>
      </c>
      <c r="T80" s="200">
        <f t="shared" si="5"/>
        <v>52.08426740100342</v>
      </c>
      <c r="U80" s="200">
        <f t="shared" si="6"/>
        <v>422.92425129614776</v>
      </c>
      <c r="V80" s="200">
        <f t="shared" si="7"/>
        <v>397.92380294366615</v>
      </c>
      <c r="W80" s="200">
        <f t="shared" si="8"/>
        <v>282.81757198744856</v>
      </c>
      <c r="X80" s="197">
        <f t="shared" si="9"/>
        <v>226.25405758995888</v>
      </c>
    </row>
    <row r="81" spans="1:24" ht="15">
      <c r="A81" s="15">
        <v>78</v>
      </c>
      <c r="B81" s="10">
        <v>427.91953966022396</v>
      </c>
      <c r="C81" s="1">
        <v>999.9999999999998</v>
      </c>
      <c r="D81" s="2" t="s">
        <v>21</v>
      </c>
      <c r="E81" s="11">
        <v>402.62380332562947</v>
      </c>
      <c r="F81" s="12">
        <v>336.03133815203944</v>
      </c>
      <c r="G81" s="4">
        <v>100</v>
      </c>
      <c r="H81" s="13">
        <v>286.1580172851005</v>
      </c>
      <c r="I81" s="16">
        <v>234.48407574384402</v>
      </c>
      <c r="J81" s="6">
        <v>75</v>
      </c>
      <c r="K81" s="14">
        <v>228.92641382808046</v>
      </c>
      <c r="L81" s="17">
        <v>156.29390311541582</v>
      </c>
      <c r="M81" s="8">
        <v>50</v>
      </c>
      <c r="O81" s="15">
        <v>78</v>
      </c>
      <c r="P81" s="10">
        <v>242.32432414920592</v>
      </c>
      <c r="Q81" s="11">
        <v>92.3088024350289</v>
      </c>
      <c r="R81" s="199">
        <v>67.13474268710293</v>
      </c>
      <c r="S81" s="14">
        <v>46.88519350981329</v>
      </c>
      <c r="T81" s="200">
        <f t="shared" si="5"/>
        <v>52.699450697071924</v>
      </c>
      <c r="U81" s="200">
        <f t="shared" si="6"/>
        <v>427.91953966022396</v>
      </c>
      <c r="V81" s="200">
        <f t="shared" si="7"/>
        <v>402.62380332562947</v>
      </c>
      <c r="W81" s="200">
        <f t="shared" si="8"/>
        <v>286.1580172851005</v>
      </c>
      <c r="X81" s="197">
        <f t="shared" si="9"/>
        <v>228.92641382808046</v>
      </c>
    </row>
    <row r="82" spans="1:24" ht="15">
      <c r="A82" s="15">
        <v>79</v>
      </c>
      <c r="B82" s="10">
        <v>432.90906738920063</v>
      </c>
      <c r="C82" s="1">
        <v>999.9999999999998</v>
      </c>
      <c r="D82" s="2" t="s">
        <v>21</v>
      </c>
      <c r="E82" s="11">
        <v>407.3183836026469</v>
      </c>
      <c r="F82" s="12">
        <v>336.0215269297665</v>
      </c>
      <c r="G82" s="4">
        <v>100</v>
      </c>
      <c r="H82" s="13">
        <v>289.4946103353891</v>
      </c>
      <c r="I82" s="16">
        <v>234.47466222053666</v>
      </c>
      <c r="J82" s="6">
        <v>75</v>
      </c>
      <c r="K82" s="14">
        <v>231.5956882683113</v>
      </c>
      <c r="L82" s="17">
        <v>156.28671554120353</v>
      </c>
      <c r="M82" s="8">
        <v>50</v>
      </c>
      <c r="O82" s="15">
        <v>79</v>
      </c>
      <c r="P82" s="10">
        <v>245.14340451749274</v>
      </c>
      <c r="Q82" s="11">
        <v>93.38026403931441</v>
      </c>
      <c r="R82" s="199">
        <v>67.91334183164727</v>
      </c>
      <c r="S82" s="14">
        <v>47.42870209123937</v>
      </c>
      <c r="T82" s="200">
        <f t="shared" si="5"/>
        <v>53.31392455532028</v>
      </c>
      <c r="U82" s="200">
        <f t="shared" si="6"/>
        <v>432.90906738920063</v>
      </c>
      <c r="V82" s="200">
        <f t="shared" si="7"/>
        <v>407.3183836026469</v>
      </c>
      <c r="W82" s="200">
        <f t="shared" si="8"/>
        <v>289.4946103353891</v>
      </c>
      <c r="X82" s="197">
        <f t="shared" si="9"/>
        <v>231.5956882683113</v>
      </c>
    </row>
    <row r="83" spans="1:24" ht="15">
      <c r="A83" s="15">
        <v>80</v>
      </c>
      <c r="B83" s="10">
        <v>437.89291392426804</v>
      </c>
      <c r="C83" s="1">
        <v>999.9999999999998</v>
      </c>
      <c r="D83" s="2" t="s">
        <v>21</v>
      </c>
      <c r="E83" s="11">
        <v>412.00761851987784</v>
      </c>
      <c r="F83" s="12">
        <v>336.0113768271794</v>
      </c>
      <c r="G83" s="4">
        <v>100</v>
      </c>
      <c r="H83" s="13">
        <v>292.82740426216446</v>
      </c>
      <c r="I83" s="16">
        <v>234.46492356594007</v>
      </c>
      <c r="J83" s="6">
        <v>75</v>
      </c>
      <c r="K83" s="14">
        <v>234.26192340973162</v>
      </c>
      <c r="L83" s="17">
        <v>156.2792797222746</v>
      </c>
      <c r="M83" s="8">
        <v>50</v>
      </c>
      <c r="O83" s="15">
        <v>80</v>
      </c>
      <c r="P83" s="10">
        <v>247.96245051516544</v>
      </c>
      <c r="Q83" s="11">
        <v>94.45157274273475</v>
      </c>
      <c r="R83" s="199">
        <v>68.69179164594564</v>
      </c>
      <c r="S83" s="14">
        <v>47.972092176167564</v>
      </c>
      <c r="T83" s="200">
        <f t="shared" si="5"/>
        <v>53.92769875914632</v>
      </c>
      <c r="U83" s="200">
        <f t="shared" si="6"/>
        <v>437.89291392426804</v>
      </c>
      <c r="V83" s="200">
        <f t="shared" si="7"/>
        <v>412.00761851987784</v>
      </c>
      <c r="W83" s="200">
        <f t="shared" si="8"/>
        <v>292.82740426216446</v>
      </c>
      <c r="X83" s="197">
        <f t="shared" si="9"/>
        <v>234.26192340973162</v>
      </c>
    </row>
    <row r="84" spans="1:24" ht="15">
      <c r="A84" s="15">
        <v>81</v>
      </c>
      <c r="B84" s="10">
        <v>442.8711566322219</v>
      </c>
      <c r="C84" s="1">
        <v>999.9999999999998</v>
      </c>
      <c r="D84" s="2" t="s">
        <v>21</v>
      </c>
      <c r="E84" s="11">
        <v>416.6915808707113</v>
      </c>
      <c r="F84" s="12">
        <v>336.0009069326575</v>
      </c>
      <c r="G84" s="4">
        <v>100</v>
      </c>
      <c r="H84" s="13">
        <v>296.1564508020893</v>
      </c>
      <c r="I84" s="16">
        <v>234.45487809589497</v>
      </c>
      <c r="J84" s="6">
        <v>75</v>
      </c>
      <c r="K84" s="14">
        <v>236.92516064167148</v>
      </c>
      <c r="L84" s="17">
        <v>156.27160964394588</v>
      </c>
      <c r="M84" s="8">
        <v>50</v>
      </c>
      <c r="O84" s="15">
        <v>81</v>
      </c>
      <c r="P84" s="10">
        <v>250.78146382039037</v>
      </c>
      <c r="Q84" s="11">
        <v>95.52273111171542</v>
      </c>
      <c r="R84" s="199">
        <v>69.47009452208592</v>
      </c>
      <c r="S84" s="14">
        <v>48.51536563101962</v>
      </c>
      <c r="T84" s="200">
        <f t="shared" si="5"/>
        <v>54.54078283648054</v>
      </c>
      <c r="U84" s="200">
        <f t="shared" si="6"/>
        <v>442.8711566322219</v>
      </c>
      <c r="V84" s="200">
        <f t="shared" si="7"/>
        <v>416.6915808707113</v>
      </c>
      <c r="W84" s="200">
        <f t="shared" si="8"/>
        <v>296.1564508020893</v>
      </c>
      <c r="X84" s="197">
        <f t="shared" si="9"/>
        <v>236.92516064167148</v>
      </c>
    </row>
    <row r="85" spans="1:24" ht="15">
      <c r="A85" s="15">
        <v>82</v>
      </c>
      <c r="B85" s="10">
        <v>447.8438708845594</v>
      </c>
      <c r="C85" s="1">
        <v>999.9999999999998</v>
      </c>
      <c r="D85" s="2" t="s">
        <v>21</v>
      </c>
      <c r="E85" s="11">
        <v>421.37034157118643</v>
      </c>
      <c r="F85" s="12">
        <v>335.9901352950981</v>
      </c>
      <c r="G85" s="4">
        <v>100</v>
      </c>
      <c r="H85" s="13">
        <v>299.4818003575317</v>
      </c>
      <c r="I85" s="16">
        <v>234.44454312884264</v>
      </c>
      <c r="J85" s="6">
        <v>75</v>
      </c>
      <c r="K85" s="14">
        <v>239.5854402860254</v>
      </c>
      <c r="L85" s="17">
        <v>156.2637185299615</v>
      </c>
      <c r="M85" s="8">
        <v>50</v>
      </c>
      <c r="O85" s="15">
        <v>82</v>
      </c>
      <c r="P85" s="10">
        <v>253.60044601024313</v>
      </c>
      <c r="Q85" s="11">
        <v>96.59374162564409</v>
      </c>
      <c r="R85" s="199">
        <v>70.24825277561999</v>
      </c>
      <c r="S85" s="14">
        <v>49.05852426383481</v>
      </c>
      <c r="T85" s="200">
        <f t="shared" si="5"/>
        <v>55.153186069527024</v>
      </c>
      <c r="U85" s="200">
        <f t="shared" si="6"/>
        <v>447.8438708845594</v>
      </c>
      <c r="V85" s="200">
        <f t="shared" si="7"/>
        <v>421.37034157118643</v>
      </c>
      <c r="W85" s="200">
        <f t="shared" si="8"/>
        <v>299.4818003575317</v>
      </c>
      <c r="X85" s="197">
        <f t="shared" si="9"/>
        <v>239.5854402860254</v>
      </c>
    </row>
    <row r="86" spans="1:24" ht="15">
      <c r="A86" s="15">
        <v>83</v>
      </c>
      <c r="B86" s="10">
        <v>452.81113013263666</v>
      </c>
      <c r="C86" s="1">
        <v>999.9999999999998</v>
      </c>
      <c r="D86" s="2" t="s">
        <v>21</v>
      </c>
      <c r="E86" s="11">
        <v>426.04396973070743</v>
      </c>
      <c r="F86" s="12">
        <v>335.97907898778544</v>
      </c>
      <c r="G86" s="4">
        <v>100</v>
      </c>
      <c r="H86" s="13">
        <v>302.8035020468248</v>
      </c>
      <c r="I86" s="16">
        <v>234.4339350471012</v>
      </c>
      <c r="J86" s="6">
        <v>75</v>
      </c>
      <c r="K86" s="14">
        <v>242.24280163745985</v>
      </c>
      <c r="L86" s="17">
        <v>156.25561888927868</v>
      </c>
      <c r="M86" s="8">
        <v>50</v>
      </c>
      <c r="O86" s="15">
        <v>83</v>
      </c>
      <c r="P86" s="10">
        <v>256.41939856793203</v>
      </c>
      <c r="Q86" s="11">
        <v>97.66460668135002</v>
      </c>
      <c r="R86" s="199">
        <v>71.02626864929277</v>
      </c>
      <c r="S86" s="14">
        <v>49.60156982704957</v>
      </c>
      <c r="T86" s="200">
        <f t="shared" si="5"/>
        <v>55.7649175040193</v>
      </c>
      <c r="U86" s="200">
        <f t="shared" si="6"/>
        <v>452.81113013263666</v>
      </c>
      <c r="V86" s="200">
        <f t="shared" si="7"/>
        <v>426.04396973070743</v>
      </c>
      <c r="W86" s="200">
        <f t="shared" si="8"/>
        <v>302.8035020468248</v>
      </c>
      <c r="X86" s="197">
        <f t="shared" si="9"/>
        <v>242.24280163745985</v>
      </c>
    </row>
    <row r="87" spans="1:24" ht="15">
      <c r="A87" s="15">
        <v>84</v>
      </c>
      <c r="B87" s="10">
        <v>457.7730059791185</v>
      </c>
      <c r="C87" s="1">
        <v>999.9999999999998</v>
      </c>
      <c r="D87" s="2" t="s">
        <v>21</v>
      </c>
      <c r="E87" s="11">
        <v>430.7125327192692</v>
      </c>
      <c r="F87" s="12">
        <v>335.967754167793</v>
      </c>
      <c r="G87" s="4">
        <v>100</v>
      </c>
      <c r="H87" s="13">
        <v>306.12160375204604</v>
      </c>
      <c r="I87" s="16">
        <v>234.42306935386367</v>
      </c>
      <c r="J87" s="6">
        <v>75</v>
      </c>
      <c r="K87" s="14">
        <v>244.89728300163685</v>
      </c>
      <c r="L87" s="17">
        <v>156.24732255958588</v>
      </c>
      <c r="M87" s="8">
        <v>75</v>
      </c>
      <c r="O87" s="15">
        <v>84</v>
      </c>
      <c r="P87" s="10">
        <v>259.238322889408</v>
      </c>
      <c r="Q87" s="11">
        <v>98.73532859727283</v>
      </c>
      <c r="R87" s="199">
        <v>71.80414431652441</v>
      </c>
      <c r="S87" s="14">
        <v>50.144504020097244</v>
      </c>
      <c r="T87" s="200">
        <f t="shared" si="5"/>
        <v>56.37598595801953</v>
      </c>
      <c r="U87" s="200">
        <f t="shared" si="6"/>
        <v>457.7730059791185</v>
      </c>
      <c r="V87" s="200">
        <f t="shared" si="7"/>
        <v>430.7125327192692</v>
      </c>
      <c r="W87" s="200">
        <f t="shared" si="8"/>
        <v>306.12160375204604</v>
      </c>
      <c r="X87" s="197">
        <f t="shared" si="9"/>
        <v>244.89728300163685</v>
      </c>
    </row>
    <row r="88" spans="1:24" ht="15">
      <c r="A88" s="15">
        <v>85</v>
      </c>
      <c r="B88" s="10">
        <v>462.7295682459581</v>
      </c>
      <c r="C88" s="1">
        <v>999.9999999999998</v>
      </c>
      <c r="D88" s="2" t="s">
        <v>21</v>
      </c>
      <c r="E88" s="11">
        <v>435.3760962314187</v>
      </c>
      <c r="F88" s="12">
        <v>335.9561761312694</v>
      </c>
      <c r="G88" s="4">
        <v>100</v>
      </c>
      <c r="H88" s="13">
        <v>309.43615216447694</v>
      </c>
      <c r="I88" s="16">
        <v>234.41196072623868</v>
      </c>
      <c r="J88" s="6">
        <v>75</v>
      </c>
      <c r="K88" s="14">
        <v>247.54892173158157</v>
      </c>
      <c r="L88" s="17">
        <v>156.23884074780565</v>
      </c>
      <c r="M88" s="8">
        <v>75</v>
      </c>
      <c r="O88" s="15">
        <v>85</v>
      </c>
      <c r="P88" s="10">
        <v>262.05722028945047</v>
      </c>
      <c r="Q88" s="11">
        <v>99.805909617358</v>
      </c>
      <c r="R88" s="199">
        <v>72.58188188467345</v>
      </c>
      <c r="S88" s="14">
        <v>50.68732849184727</v>
      </c>
      <c r="T88" s="200">
        <f t="shared" si="5"/>
        <v>56.98640003029041</v>
      </c>
      <c r="U88" s="200">
        <f t="shared" si="6"/>
        <v>462.7295682459581</v>
      </c>
      <c r="V88" s="200">
        <f t="shared" si="7"/>
        <v>435.3760962314187</v>
      </c>
      <c r="W88" s="200">
        <f t="shared" si="8"/>
        <v>309.43615216447694</v>
      </c>
      <c r="X88" s="197">
        <f t="shared" si="9"/>
        <v>247.54892173158157</v>
      </c>
    </row>
    <row r="89" spans="1:24" ht="15">
      <c r="A89" s="15">
        <v>86</v>
      </c>
      <c r="B89" s="10">
        <v>467.68088503909746</v>
      </c>
      <c r="C89" s="1">
        <v>999.9999999999998</v>
      </c>
      <c r="D89" s="2" t="s">
        <v>21</v>
      </c>
      <c r="E89" s="11">
        <v>440.03472434713115</v>
      </c>
      <c r="F89" s="12">
        <v>335.9443593649287</v>
      </c>
      <c r="G89" s="4">
        <v>112.5</v>
      </c>
      <c r="H89" s="13">
        <v>312.7471928278694</v>
      </c>
      <c r="I89" s="16">
        <v>234.4006230646595</v>
      </c>
      <c r="J89" s="6">
        <v>75</v>
      </c>
      <c r="K89" s="14">
        <v>250.19775426229555</v>
      </c>
      <c r="L89" s="17">
        <v>156.23018406781605</v>
      </c>
      <c r="M89" s="8">
        <v>75</v>
      </c>
      <c r="O89" s="15">
        <v>86</v>
      </c>
      <c r="P89" s="10">
        <v>264.87609200726484</v>
      </c>
      <c r="Q89" s="11">
        <v>100.87635191469676</v>
      </c>
      <c r="R89" s="199">
        <v>73.35948339809528</v>
      </c>
      <c r="S89" s="14">
        <v>51.23004484289434</v>
      </c>
      <c r="T89" s="200">
        <f t="shared" si="5"/>
        <v>57.59616810826324</v>
      </c>
      <c r="U89" s="200">
        <f t="shared" si="6"/>
        <v>467.68088503909746</v>
      </c>
      <c r="V89" s="200">
        <f t="shared" si="7"/>
        <v>440.03472434713115</v>
      </c>
      <c r="W89" s="200">
        <f t="shared" si="8"/>
        <v>312.7471928278694</v>
      </c>
      <c r="X89" s="197">
        <f t="shared" si="9"/>
        <v>250.19775426229555</v>
      </c>
    </row>
    <row r="90" spans="1:24" ht="15">
      <c r="A90" s="15">
        <v>87</v>
      </c>
      <c r="B90" s="10">
        <v>472.62702281010206</v>
      </c>
      <c r="C90" s="1">
        <v>999.9999999999998</v>
      </c>
      <c r="D90" s="2" t="s">
        <v>21</v>
      </c>
      <c r="E90" s="11">
        <v>444.68847958980047</v>
      </c>
      <c r="F90" s="12">
        <v>335.93231759404745</v>
      </c>
      <c r="G90" s="4">
        <v>112.5</v>
      </c>
      <c r="H90" s="13">
        <v>316.0547701796619</v>
      </c>
      <c r="I90" s="16">
        <v>234.3890695389305</v>
      </c>
      <c r="J90" s="6">
        <v>75</v>
      </c>
      <c r="K90" s="14">
        <v>252.84381614372953</v>
      </c>
      <c r="L90" s="17">
        <v>156.22136257561212</v>
      </c>
      <c r="M90" s="8">
        <v>75</v>
      </c>
      <c r="O90" s="15">
        <v>87</v>
      </c>
      <c r="P90" s="10">
        <v>267.6949392116214</v>
      </c>
      <c r="Q90" s="11">
        <v>101.94665759492594</v>
      </c>
      <c r="R90" s="199">
        <v>74.13695084100803</v>
      </c>
      <c r="S90" s="14">
        <v>51.772654627706444</v>
      </c>
      <c r="T90" s="200">
        <f t="shared" si="5"/>
        <v>58.20529837562834</v>
      </c>
      <c r="U90" s="200">
        <f t="shared" si="6"/>
        <v>472.62702281010206</v>
      </c>
      <c r="V90" s="200">
        <f t="shared" si="7"/>
        <v>444.68847958980047</v>
      </c>
      <c r="W90" s="200">
        <f t="shared" si="8"/>
        <v>316.0547701796619</v>
      </c>
      <c r="X90" s="197">
        <f t="shared" si="9"/>
        <v>252.84381614372953</v>
      </c>
    </row>
    <row r="91" spans="1:24" ht="15">
      <c r="A91" s="15">
        <v>88</v>
      </c>
      <c r="B91" s="10">
        <v>477.5680464148918</v>
      </c>
      <c r="C91" s="1">
        <v>999.9999999999998</v>
      </c>
      <c r="D91" s="2" t="s">
        <v>21</v>
      </c>
      <c r="E91" s="11">
        <v>449.33742298149923</v>
      </c>
      <c r="F91" s="12">
        <v>335.92006382721706</v>
      </c>
      <c r="G91" s="4">
        <v>112.5</v>
      </c>
      <c r="H91" s="13">
        <v>319.35892759025404</v>
      </c>
      <c r="I91" s="16">
        <v>234.37731263117183</v>
      </c>
      <c r="J91" s="6">
        <v>75</v>
      </c>
      <c r="K91" s="14">
        <v>255.48714207220326</v>
      </c>
      <c r="L91" s="17">
        <v>156.21238580209484</v>
      </c>
      <c r="M91" s="8">
        <v>75</v>
      </c>
      <c r="O91" s="15">
        <v>88</v>
      </c>
      <c r="P91" s="10">
        <v>270.51376300561725</v>
      </c>
      <c r="Q91" s="11">
        <v>103.01682869942056</v>
      </c>
      <c r="R91" s="199">
        <v>74.91428614019061</v>
      </c>
      <c r="S91" s="14">
        <v>52.31515935664919</v>
      </c>
      <c r="T91" s="200">
        <f t="shared" si="5"/>
        <v>58.813798819567964</v>
      </c>
      <c r="U91" s="200">
        <f t="shared" si="6"/>
        <v>477.5680464148918</v>
      </c>
      <c r="V91" s="200">
        <f t="shared" si="7"/>
        <v>449.33742298149923</v>
      </c>
      <c r="W91" s="200">
        <f t="shared" si="8"/>
        <v>319.35892759025404</v>
      </c>
      <c r="X91" s="197">
        <f t="shared" si="9"/>
        <v>255.48714207220326</v>
      </c>
    </row>
    <row r="92" spans="1:24" ht="15">
      <c r="A92" s="15">
        <v>89</v>
      </c>
      <c r="B92" s="10">
        <v>482.504019169747</v>
      </c>
      <c r="C92" s="1">
        <v>999.9999999999998</v>
      </c>
      <c r="D92" s="2" t="s">
        <v>21</v>
      </c>
      <c r="E92" s="11">
        <v>453.9816140956733</v>
      </c>
      <c r="F92" s="12">
        <v>335.9076103981228</v>
      </c>
      <c r="G92" s="4">
        <v>112.5</v>
      </c>
      <c r="H92" s="13">
        <v>322.6597074004589</v>
      </c>
      <c r="I92" s="16">
        <v>234.36536417590222</v>
      </c>
      <c r="J92" s="6">
        <v>100</v>
      </c>
      <c r="K92" s="14">
        <v>258.12776592036715</v>
      </c>
      <c r="L92" s="17">
        <v>156.2032627836763</v>
      </c>
      <c r="M92" s="8">
        <v>75</v>
      </c>
      <c r="O92" s="15">
        <v>89</v>
      </c>
      <c r="P92" s="10">
        <v>273.3325644310363</v>
      </c>
      <c r="Q92" s="11">
        <v>104.08686720827522</v>
      </c>
      <c r="R92" s="199">
        <v>75.69149116751105</v>
      </c>
      <c r="S92" s="14">
        <v>52.85756049788574</v>
      </c>
      <c r="T92" s="200">
        <f t="shared" si="5"/>
        <v>59.421677237653576</v>
      </c>
      <c r="U92" s="200">
        <f t="shared" si="6"/>
        <v>482.504019169747</v>
      </c>
      <c r="V92" s="200">
        <f t="shared" si="7"/>
        <v>453.9816140956733</v>
      </c>
      <c r="W92" s="200">
        <f t="shared" si="8"/>
        <v>322.6597074004589</v>
      </c>
      <c r="X92" s="197">
        <f t="shared" si="9"/>
        <v>258.12776592036715</v>
      </c>
    </row>
    <row r="93" spans="1:24" ht="15">
      <c r="A93" s="15">
        <v>90</v>
      </c>
      <c r="B93" s="10">
        <v>487.4350029047415</v>
      </c>
      <c r="C93" s="1">
        <v>999.9999999999998</v>
      </c>
      <c r="D93" s="2" t="s">
        <v>21</v>
      </c>
      <c r="E93" s="11">
        <v>458.6211111074169</v>
      </c>
      <c r="F93" s="12">
        <v>335.8949690045488</v>
      </c>
      <c r="G93" s="4">
        <v>112.5</v>
      </c>
      <c r="H93" s="13">
        <v>325.9571509572348</v>
      </c>
      <c r="I93" s="16">
        <v>234.35323539746582</v>
      </c>
      <c r="J93" s="6">
        <v>100</v>
      </c>
      <c r="K93" s="14">
        <v>260.7657207657879</v>
      </c>
      <c r="L93" s="17">
        <v>156.19400209085848</v>
      </c>
      <c r="M93" s="8">
        <v>75</v>
      </c>
      <c r="O93" s="15">
        <v>90</v>
      </c>
      <c r="P93" s="10">
        <v>276.15134447239797</v>
      </c>
      <c r="Q93" s="11">
        <v>105.15677504310969</v>
      </c>
      <c r="R93" s="199">
        <v>76.4685677423115</v>
      </c>
      <c r="S93" s="14">
        <v>53.39985947917085</v>
      </c>
      <c r="T93" s="200">
        <f t="shared" si="5"/>
        <v>60.0289412444263</v>
      </c>
      <c r="U93" s="200">
        <f t="shared" si="6"/>
        <v>487.4350029047415</v>
      </c>
      <c r="V93" s="200">
        <f t="shared" si="7"/>
        <v>458.6211111074169</v>
      </c>
      <c r="W93" s="200">
        <f t="shared" si="8"/>
        <v>325.9571509572348</v>
      </c>
      <c r="X93" s="197">
        <f t="shared" si="9"/>
        <v>260.7657207657879</v>
      </c>
    </row>
    <row r="94" spans="1:24" ht="15">
      <c r="A94" s="15">
        <v>91</v>
      </c>
      <c r="B94" s="10">
        <v>492.3610580147447</v>
      </c>
      <c r="C94" s="1">
        <v>999.9999999999998</v>
      </c>
      <c r="D94" s="2" t="s">
        <v>21</v>
      </c>
      <c r="E94" s="11">
        <v>463.2559708414593</v>
      </c>
      <c r="F94" s="12">
        <v>335.88215074483264</v>
      </c>
      <c r="G94" s="4">
        <v>112.5</v>
      </c>
      <c r="H94" s="13">
        <v>329.2512986477911</v>
      </c>
      <c r="I94" s="16">
        <v>234.3409369450113</v>
      </c>
      <c r="J94" s="6">
        <v>100</v>
      </c>
      <c r="K94" s="14">
        <v>263.4010389182329</v>
      </c>
      <c r="L94" s="17">
        <v>156.18461185493862</v>
      </c>
      <c r="M94" s="8">
        <v>75</v>
      </c>
      <c r="O94" s="15">
        <v>91</v>
      </c>
      <c r="P94" s="10">
        <v>278.9701040606886</v>
      </c>
      <c r="Q94" s="11">
        <v>106.22655406970046</v>
      </c>
      <c r="R94" s="199">
        <v>77.24551763365223</v>
      </c>
      <c r="S94" s="14">
        <v>53.94205768954094</v>
      </c>
      <c r="T94" s="200">
        <f t="shared" si="5"/>
        <v>60.63559827767792</v>
      </c>
      <c r="U94" s="200">
        <f t="shared" si="6"/>
        <v>492.3610580147447</v>
      </c>
      <c r="V94" s="200">
        <f t="shared" si="7"/>
        <v>463.2559708414593</v>
      </c>
      <c r="W94" s="200">
        <f t="shared" si="8"/>
        <v>329.2512986477911</v>
      </c>
      <c r="X94" s="197">
        <f t="shared" si="9"/>
        <v>263.4010389182329</v>
      </c>
    </row>
    <row r="95" spans="1:24" ht="15">
      <c r="A95" s="15">
        <v>92</v>
      </c>
      <c r="B95" s="10">
        <v>497.2822435081403</v>
      </c>
      <c r="C95" s="1">
        <v>999.9999999999998</v>
      </c>
      <c r="D95" s="2" t="s">
        <v>21</v>
      </c>
      <c r="E95" s="11">
        <v>467.886248818004</v>
      </c>
      <c r="F95" s="12">
        <v>335.8691661519484</v>
      </c>
      <c r="G95" s="4">
        <v>112.5</v>
      </c>
      <c r="H95" s="13">
        <v>332.54218993216773</v>
      </c>
      <c r="I95" s="16">
        <v>234.328478925193</v>
      </c>
      <c r="J95" s="6">
        <v>100</v>
      </c>
      <c r="K95" s="14">
        <v>266.03375194573425</v>
      </c>
      <c r="L95" s="17">
        <v>156.17509979298234</v>
      </c>
      <c r="M95" s="8">
        <v>75</v>
      </c>
      <c r="O95" s="15">
        <v>92</v>
      </c>
      <c r="P95" s="10">
        <v>281.7888440768165</v>
      </c>
      <c r="Q95" s="11">
        <v>107.29620610045612</v>
      </c>
      <c r="R95" s="199">
        <v>78.0223425624279</v>
      </c>
      <c r="S95" s="14">
        <v>54.48415648090995</v>
      </c>
      <c r="T95" s="200">
        <f t="shared" si="5"/>
        <v>61.241655604450784</v>
      </c>
      <c r="U95" s="200">
        <f t="shared" si="6"/>
        <v>497.2822435081403</v>
      </c>
      <c r="V95" s="200">
        <f t="shared" si="7"/>
        <v>467.886248818004</v>
      </c>
      <c r="W95" s="200">
        <f t="shared" si="8"/>
        <v>332.54218993216773</v>
      </c>
      <c r="X95" s="197">
        <f t="shared" si="9"/>
        <v>266.03375194573425</v>
      </c>
    </row>
    <row r="96" spans="1:24" ht="15">
      <c r="A96" s="15">
        <v>93</v>
      </c>
      <c r="B96" s="10">
        <v>502.1986170533697</v>
      </c>
      <c r="C96" s="1">
        <v>999.9999999999998</v>
      </c>
      <c r="D96" s="2" t="s">
        <v>21</v>
      </c>
      <c r="E96" s="11">
        <v>472.51199929652023</v>
      </c>
      <c r="F96" s="12">
        <v>335.856025225397</v>
      </c>
      <c r="G96" s="4">
        <v>112.5</v>
      </c>
      <c r="H96" s="13">
        <v>335.82986337435926</v>
      </c>
      <c r="I96" s="16">
        <v>234.31587093277133</v>
      </c>
      <c r="J96" s="6">
        <v>100</v>
      </c>
      <c r="K96" s="14">
        <v>268.66389069948747</v>
      </c>
      <c r="L96" s="17">
        <v>156.16547323118553</v>
      </c>
      <c r="M96" s="8">
        <v>75</v>
      </c>
      <c r="O96" s="15">
        <v>93</v>
      </c>
      <c r="P96" s="10">
        <v>284.6075653548061</v>
      </c>
      <c r="Q96" s="11">
        <v>108.36573289674521</v>
      </c>
      <c r="R96" s="199">
        <v>78.79904420336376</v>
      </c>
      <c r="S96" s="14">
        <v>55.026157169576244</v>
      </c>
      <c r="T96" s="200">
        <f t="shared" si="5"/>
        <v>61.84712032676967</v>
      </c>
      <c r="U96" s="200">
        <f t="shared" si="6"/>
        <v>502.1986170533697</v>
      </c>
      <c r="V96" s="200">
        <f t="shared" si="7"/>
        <v>472.51199929652023</v>
      </c>
      <c r="W96" s="200">
        <f t="shared" si="8"/>
        <v>335.82986337435926</v>
      </c>
      <c r="X96" s="197">
        <f t="shared" si="9"/>
        <v>268.66389069948747</v>
      </c>
    </row>
    <row r="97" spans="1:24" ht="15">
      <c r="A97" s="15">
        <v>94</v>
      </c>
      <c r="B97" s="10">
        <v>507.11023502343795</v>
      </c>
      <c r="C97" s="1">
        <v>999.9999999999998</v>
      </c>
      <c r="D97" s="2" t="s">
        <v>21</v>
      </c>
      <c r="E97" s="11">
        <v>477.13327531761894</v>
      </c>
      <c r="F97" s="12">
        <v>335.8427374610585</v>
      </c>
      <c r="G97" s="4">
        <v>112.5</v>
      </c>
      <c r="H97" s="13">
        <v>339.11435667207735</v>
      </c>
      <c r="I97" s="16">
        <v>234.30312207925644</v>
      </c>
      <c r="J97" s="6">
        <v>100</v>
      </c>
      <c r="K97" s="14">
        <v>271.2914853376619</v>
      </c>
      <c r="L97" s="17">
        <v>156.15573912674694</v>
      </c>
      <c r="M97" s="8">
        <v>75</v>
      </c>
      <c r="O97" s="15">
        <v>94</v>
      </c>
      <c r="P97" s="10">
        <v>287.42626868475537</v>
      </c>
      <c r="Q97" s="11">
        <v>109.43513617108788</v>
      </c>
      <c r="R97" s="199">
        <v>79.57562418689994</v>
      </c>
      <c r="S97" s="14">
        <v>55.56806103764687</v>
      </c>
      <c r="T97" s="200">
        <f t="shared" si="5"/>
        <v>62.4519993871229</v>
      </c>
      <c r="U97" s="200">
        <f t="shared" si="6"/>
        <v>507.11023502343795</v>
      </c>
      <c r="V97" s="200">
        <f t="shared" si="7"/>
        <v>477.13327531761894</v>
      </c>
      <c r="W97" s="200">
        <f t="shared" si="8"/>
        <v>339.11435667207735</v>
      </c>
      <c r="X97" s="197">
        <f t="shared" si="9"/>
        <v>271.2914853376619</v>
      </c>
    </row>
    <row r="98" spans="1:24" ht="15">
      <c r="A98" s="15">
        <v>95</v>
      </c>
      <c r="B98" s="10">
        <v>512.0171525384801</v>
      </c>
      <c r="C98" s="1">
        <v>999.9999999999998</v>
      </c>
      <c r="D98" s="2" t="s">
        <v>21</v>
      </c>
      <c r="E98" s="11">
        <v>481.750128743102</v>
      </c>
      <c r="F98" s="12">
        <v>335.82931187915574</v>
      </c>
      <c r="G98" s="4">
        <v>112.5</v>
      </c>
      <c r="H98" s="13">
        <v>342.39570668521515</v>
      </c>
      <c r="I98" s="16">
        <v>234.2902410197392</v>
      </c>
      <c r="J98" s="6">
        <v>100</v>
      </c>
      <c r="K98" s="14">
        <v>273.9165653481721</v>
      </c>
      <c r="L98" s="17">
        <v>156.14590408835537</v>
      </c>
      <c r="M98" s="8">
        <v>75</v>
      </c>
      <c r="O98" s="15">
        <v>95</v>
      </c>
      <c r="P98" s="10">
        <v>290.2449548155864</v>
      </c>
      <c r="Q98" s="11">
        <v>110.504417589225</v>
      </c>
      <c r="R98" s="199">
        <v>80.35208410097502</v>
      </c>
      <c r="S98" s="14">
        <v>56.109869334386886</v>
      </c>
      <c r="T98" s="200">
        <f t="shared" si="5"/>
        <v>63.05629957370445</v>
      </c>
      <c r="U98" s="200">
        <f t="shared" si="6"/>
        <v>512.0171525384801</v>
      </c>
      <c r="V98" s="200">
        <f t="shared" si="7"/>
        <v>481.750128743102</v>
      </c>
      <c r="W98" s="200">
        <f t="shared" si="8"/>
        <v>342.39570668521515</v>
      </c>
      <c r="X98" s="197">
        <f t="shared" si="9"/>
        <v>273.9165653481721</v>
      </c>
    </row>
    <row r="99" spans="1:24" ht="15">
      <c r="A99" s="15">
        <v>96</v>
      </c>
      <c r="B99" s="10">
        <v>516.9194235064942</v>
      </c>
      <c r="C99" s="1">
        <v>999.9999999999998</v>
      </c>
      <c r="D99" s="2" t="s">
        <v>21</v>
      </c>
      <c r="E99" s="11">
        <v>486.3626102942878</v>
      </c>
      <c r="F99" s="12">
        <v>335.8157570504617</v>
      </c>
      <c r="G99" s="4">
        <v>112.5</v>
      </c>
      <c r="H99" s="13">
        <v>345.67394946308673</v>
      </c>
      <c r="I99" s="16">
        <v>234.27723597803995</v>
      </c>
      <c r="J99" s="6">
        <v>100</v>
      </c>
      <c r="K99" s="14">
        <v>276.5391595704694</v>
      </c>
      <c r="L99" s="17">
        <v>156.13597439539188</v>
      </c>
      <c r="M99" s="8">
        <v>75</v>
      </c>
      <c r="O99" s="15">
        <v>96</v>
      </c>
      <c r="P99" s="10">
        <v>293.0636244575855</v>
      </c>
      <c r="Q99" s="11">
        <v>111.57357877206611</v>
      </c>
      <c r="R99" s="199">
        <v>81.12842549270984</v>
      </c>
      <c r="S99" s="14">
        <v>56.65158327749498</v>
      </c>
      <c r="T99" s="200">
        <f t="shared" si="5"/>
        <v>63.66002752543034</v>
      </c>
      <c r="U99" s="200">
        <f t="shared" si="6"/>
        <v>516.9194235064942</v>
      </c>
      <c r="V99" s="200">
        <f t="shared" si="7"/>
        <v>486.3626102942878</v>
      </c>
      <c r="W99" s="200">
        <f t="shared" si="8"/>
        <v>345.67394946308673</v>
      </c>
      <c r="X99" s="197">
        <f t="shared" si="9"/>
        <v>276.5391595704694</v>
      </c>
    </row>
    <row r="100" spans="1:24" ht="15">
      <c r="A100" s="15">
        <v>97</v>
      </c>
      <c r="B100" s="10">
        <v>521.8171006623445</v>
      </c>
      <c r="C100" s="1">
        <v>999.9999999999998</v>
      </c>
      <c r="D100" s="2" t="s">
        <v>21</v>
      </c>
      <c r="E100" s="11">
        <v>490.9707695887084</v>
      </c>
      <c r="F100" s="12">
        <v>335.80208112087644</v>
      </c>
      <c r="G100" s="4">
        <v>125</v>
      </c>
      <c r="H100" s="13">
        <v>348.9491202705087</v>
      </c>
      <c r="I100" s="16">
        <v>234.26411477028836</v>
      </c>
      <c r="J100" s="6">
        <v>100</v>
      </c>
      <c r="K100" s="14">
        <v>279.159296216407</v>
      </c>
      <c r="L100" s="17">
        <v>156.12595601593446</v>
      </c>
      <c r="M100" s="8">
        <v>75</v>
      </c>
      <c r="O100" s="15">
        <v>97</v>
      </c>
      <c r="P100" s="10">
        <v>295.8822782847792</v>
      </c>
      <c r="Q100" s="11">
        <v>112.64262129753456</v>
      </c>
      <c r="R100" s="199">
        <v>81.90464987000588</v>
      </c>
      <c r="S100" s="14">
        <v>57.19320405431526</v>
      </c>
      <c r="T100" s="200">
        <f t="shared" si="5"/>
        <v>64.26318973674194</v>
      </c>
      <c r="U100" s="200">
        <f t="shared" si="6"/>
        <v>521.8171006623445</v>
      </c>
      <c r="V100" s="200">
        <f t="shared" si="7"/>
        <v>490.9707695887084</v>
      </c>
      <c r="W100" s="200">
        <f t="shared" si="8"/>
        <v>348.9491202705087</v>
      </c>
      <c r="X100" s="197">
        <f t="shared" si="9"/>
        <v>279.159296216407</v>
      </c>
    </row>
    <row r="101" spans="1:24" ht="15">
      <c r="A101" s="15">
        <v>98</v>
      </c>
      <c r="B101" s="10">
        <v>526.7102356051154</v>
      </c>
      <c r="C101" s="1">
        <v>999.9999999999998</v>
      </c>
      <c r="D101" s="2" t="s">
        <v>21</v>
      </c>
      <c r="E101" s="11">
        <v>495.5746551752564</v>
      </c>
      <c r="F101" s="12">
        <v>335.78829183448744</v>
      </c>
      <c r="G101" s="4">
        <v>125</v>
      </c>
      <c r="H101" s="13">
        <v>352.2212536127804</v>
      </c>
      <c r="I101" s="16">
        <v>234.2508848270522</v>
      </c>
      <c r="J101" s="6">
        <v>100</v>
      </c>
      <c r="K101" s="14">
        <v>281.77700289022437</v>
      </c>
      <c r="L101" s="17">
        <v>156.11585462365545</v>
      </c>
      <c r="M101" s="8">
        <v>75</v>
      </c>
      <c r="O101" s="15">
        <v>98</v>
      </c>
      <c r="P101" s="10">
        <v>298.7009169371208</v>
      </c>
      <c r="Q101" s="11">
        <v>113.71154670230356</v>
      </c>
      <c r="R101" s="199">
        <v>82.68075870305438</v>
      </c>
      <c r="S101" s="14">
        <v>57.73473282298292</v>
      </c>
      <c r="T101" s="200">
        <f t="shared" si="5"/>
        <v>64.86579256220634</v>
      </c>
      <c r="U101" s="200">
        <f t="shared" si="6"/>
        <v>526.7102356051154</v>
      </c>
      <c r="V101" s="200">
        <f t="shared" si="7"/>
        <v>495.5746551752564</v>
      </c>
      <c r="W101" s="200">
        <f t="shared" si="8"/>
        <v>352.2212536127804</v>
      </c>
      <c r="X101" s="197">
        <f t="shared" si="9"/>
        <v>281.77700289022437</v>
      </c>
    </row>
    <row r="102" spans="1:24" ht="15">
      <c r="A102" s="15">
        <v>99</v>
      </c>
      <c r="B102" s="10">
        <v>531.5988788339092</v>
      </c>
      <c r="C102" s="1">
        <v>999.9999999999998</v>
      </c>
      <c r="D102" s="2" t="s">
        <v>21</v>
      </c>
      <c r="E102" s="11">
        <v>500.1743145678654</v>
      </c>
      <c r="F102" s="12">
        <v>335.77439655521715</v>
      </c>
      <c r="G102" s="4">
        <v>125</v>
      </c>
      <c r="H102" s="13">
        <v>355.49038325962164</v>
      </c>
      <c r="I102" s="16">
        <v>234.2375532141076</v>
      </c>
      <c r="J102" s="6">
        <v>100</v>
      </c>
      <c r="K102" s="14">
        <v>284.3923066076973</v>
      </c>
      <c r="L102" s="17">
        <v>156.10567561368023</v>
      </c>
      <c r="M102" s="8">
        <v>75</v>
      </c>
      <c r="O102" s="15">
        <v>99</v>
      </c>
      <c r="P102" s="10">
        <v>301.5195410225409</v>
      </c>
      <c r="Q102" s="11">
        <v>114.7803564834446</v>
      </c>
      <c r="R102" s="199">
        <v>83.45675342577141</v>
      </c>
      <c r="S102" s="14">
        <v>58.276170713514595</v>
      </c>
      <c r="T102" s="200">
        <f t="shared" si="5"/>
        <v>65.4678422209248</v>
      </c>
      <c r="U102" s="200">
        <f t="shared" si="6"/>
        <v>531.5988788339092</v>
      </c>
      <c r="V102" s="200">
        <f t="shared" si="7"/>
        <v>500.1743145678654</v>
      </c>
      <c r="W102" s="200">
        <f t="shared" si="8"/>
        <v>355.49038325962164</v>
      </c>
      <c r="X102" s="197">
        <f t="shared" si="9"/>
        <v>284.3923066076973</v>
      </c>
    </row>
    <row r="103" spans="1:24" ht="15">
      <c r="A103" s="15">
        <v>100</v>
      </c>
      <c r="B103" s="10">
        <v>536.483079782168</v>
      </c>
      <c r="C103" s="1">
        <v>999.9999999999998</v>
      </c>
      <c r="D103" s="2" t="s">
        <v>21</v>
      </c>
      <c r="E103" s="11">
        <v>504.7697942778035</v>
      </c>
      <c r="F103" s="12">
        <v>335.7604022871546</v>
      </c>
      <c r="G103" s="4">
        <v>125</v>
      </c>
      <c r="H103" s="13">
        <v>358.75654226812475</v>
      </c>
      <c r="I103" s="16">
        <v>234.22412665194952</v>
      </c>
      <c r="J103" s="6">
        <v>100</v>
      </c>
      <c r="K103" s="14">
        <v>287.00523381449983</v>
      </c>
      <c r="L103" s="17">
        <v>156.09542411748617</v>
      </c>
      <c r="M103" s="8">
        <v>75</v>
      </c>
      <c r="O103" s="15">
        <v>100</v>
      </c>
      <c r="P103" s="10">
        <v>304.33815111884593</v>
      </c>
      <c r="Q103" s="11">
        <v>115.8490520999833</v>
      </c>
      <c r="R103" s="199">
        <v>84.2326354371567</v>
      </c>
      <c r="S103" s="14">
        <v>58.81751882884211</v>
      </c>
      <c r="T103" s="200">
        <f t="shared" si="5"/>
        <v>66.06934480075962</v>
      </c>
      <c r="U103" s="200">
        <f t="shared" si="6"/>
        <v>536.483079782168</v>
      </c>
      <c r="V103" s="200">
        <f t="shared" si="7"/>
        <v>504.7697942778035</v>
      </c>
      <c r="W103" s="200">
        <f t="shared" si="8"/>
        <v>358.75654226812475</v>
      </c>
      <c r="X103" s="197">
        <f t="shared" si="9"/>
        <v>287.00523381449983</v>
      </c>
    </row>
    <row r="104" spans="1:24" ht="15">
      <c r="A104" s="15">
        <v>150</v>
      </c>
      <c r="B104" s="10">
        <v>775.8880713284964</v>
      </c>
      <c r="C104" s="1">
        <v>999.9999999999998</v>
      </c>
      <c r="D104" s="2" t="s">
        <v>21</v>
      </c>
      <c r="E104" s="11">
        <v>730.0227666194228</v>
      </c>
      <c r="F104" s="12">
        <v>335.02422863285517</v>
      </c>
      <c r="G104" s="4" t="s">
        <v>21</v>
      </c>
      <c r="H104" s="13">
        <v>518.8512595213961</v>
      </c>
      <c r="I104" s="16">
        <v>233.5178514885558</v>
      </c>
      <c r="J104" s="6">
        <v>125</v>
      </c>
      <c r="K104" s="14">
        <v>415.0810076171169</v>
      </c>
      <c r="L104" s="17">
        <v>155.55618031578072</v>
      </c>
      <c r="M104" s="8">
        <v>100</v>
      </c>
      <c r="O104" s="15">
        <v>150</v>
      </c>
      <c r="P104" s="10">
        <v>445.2583491368972</v>
      </c>
      <c r="Q104" s="11">
        <v>169.1626667264585</v>
      </c>
      <c r="R104" s="199">
        <v>122.90664053598226</v>
      </c>
      <c r="S104" s="14">
        <v>85.78913840500947</v>
      </c>
      <c r="T104" s="200">
        <f t="shared" si="5"/>
        <v>95.5527181439035</v>
      </c>
      <c r="U104" s="200">
        <f t="shared" si="6"/>
        <v>775.8880713284964</v>
      </c>
      <c r="V104" s="200">
        <f t="shared" si="7"/>
        <v>730.0227666194228</v>
      </c>
      <c r="W104" s="200">
        <f t="shared" si="8"/>
        <v>518.8512595213961</v>
      </c>
      <c r="X104" s="197">
        <f t="shared" si="9"/>
        <v>415.0810076171169</v>
      </c>
    </row>
    <row r="105" spans="1:24" ht="15">
      <c r="A105" s="15">
        <v>200</v>
      </c>
      <c r="B105" s="10">
        <v>1008.0761160474847</v>
      </c>
      <c r="C105" s="1">
        <v>999.9999999999998</v>
      </c>
      <c r="D105" s="2" t="s">
        <v>21</v>
      </c>
      <c r="E105" s="11">
        <v>948.4854096801457</v>
      </c>
      <c r="F105" s="12">
        <v>334.3450843068937</v>
      </c>
      <c r="G105" s="4" t="s">
        <v>21</v>
      </c>
      <c r="H105" s="13">
        <v>674.1198657805224</v>
      </c>
      <c r="I105" s="16">
        <v>232.86634905587476</v>
      </c>
      <c r="J105" s="6" t="s">
        <v>21</v>
      </c>
      <c r="K105" s="14">
        <v>539.295892624418</v>
      </c>
      <c r="L105" s="17">
        <v>155.058780001862</v>
      </c>
      <c r="M105" s="8">
        <v>125</v>
      </c>
      <c r="O105" s="15">
        <v>200</v>
      </c>
      <c r="P105" s="10">
        <v>586.1704358213573</v>
      </c>
      <c r="Q105" s="11">
        <v>222.29844999160602</v>
      </c>
      <c r="R105" s="199">
        <v>161.40365692597558</v>
      </c>
      <c r="S105" s="14">
        <v>112.61939538734573</v>
      </c>
      <c r="T105" s="200">
        <f t="shared" si="5"/>
        <v>124.14730493195626</v>
      </c>
      <c r="U105" s="200">
        <f t="shared" si="6"/>
        <v>1008.0761160474847</v>
      </c>
      <c r="V105" s="200">
        <f t="shared" si="7"/>
        <v>948.4854096801457</v>
      </c>
      <c r="W105" s="200">
        <f t="shared" si="8"/>
        <v>674.1198657805224</v>
      </c>
      <c r="X105" s="197">
        <f t="shared" si="9"/>
        <v>539.295892624418</v>
      </c>
    </row>
    <row r="106" spans="1:24" ht="15">
      <c r="A106" s="15">
        <v>250</v>
      </c>
      <c r="B106" s="10">
        <v>1235.0411760386073</v>
      </c>
      <c r="C106" s="1">
        <v>999.9999999999998</v>
      </c>
      <c r="D106" s="2" t="s">
        <v>21</v>
      </c>
      <c r="E106" s="11">
        <v>1162.0338158786897</v>
      </c>
      <c r="F106" s="12">
        <v>333.7578420374505</v>
      </c>
      <c r="G106" s="4" t="s">
        <v>21</v>
      </c>
      <c r="H106" s="13">
        <v>825.8957618090687</v>
      </c>
      <c r="I106" s="16">
        <v>232.3030544464702</v>
      </c>
      <c r="J106" s="6" t="s">
        <v>21</v>
      </c>
      <c r="K106" s="14">
        <v>660.7166094472551</v>
      </c>
      <c r="L106" s="17">
        <v>154.62874230924186</v>
      </c>
      <c r="M106" s="8">
        <v>150</v>
      </c>
      <c r="O106" s="15">
        <v>250</v>
      </c>
      <c r="P106" s="10">
        <v>727.0801721993718</v>
      </c>
      <c r="Q106" s="11">
        <v>275.30820833039087</v>
      </c>
      <c r="R106" s="199">
        <v>199.7748925531053</v>
      </c>
      <c r="S106" s="14">
        <v>139.34909393187425</v>
      </c>
      <c r="T106" s="200">
        <f t="shared" si="5"/>
        <v>152.0986669998285</v>
      </c>
      <c r="U106" s="200">
        <f t="shared" si="6"/>
        <v>1235.0411760386073</v>
      </c>
      <c r="V106" s="200">
        <f t="shared" si="7"/>
        <v>1162.0338158786897</v>
      </c>
      <c r="W106" s="200">
        <f t="shared" si="8"/>
        <v>825.8957618090687</v>
      </c>
      <c r="X106" s="197">
        <f t="shared" si="9"/>
        <v>660.7166094472551</v>
      </c>
    </row>
    <row r="107" spans="1:24" ht="15">
      <c r="A107" s="15">
        <v>300</v>
      </c>
      <c r="B107" s="10">
        <v>1457.9289877138117</v>
      </c>
      <c r="C107" s="1">
        <v>999.9999999999998</v>
      </c>
      <c r="D107" s="2" t="s">
        <v>21</v>
      </c>
      <c r="E107" s="11">
        <v>1371.7459933661974</v>
      </c>
      <c r="F107" s="12">
        <v>333.25021008314235</v>
      </c>
      <c r="G107" s="4" t="s">
        <v>21</v>
      </c>
      <c r="H107" s="13">
        <v>974.9451235573889</v>
      </c>
      <c r="I107" s="16">
        <v>231.81615837393528</v>
      </c>
      <c r="J107" s="6" t="s">
        <v>21</v>
      </c>
      <c r="K107" s="14">
        <v>779.9560988459112</v>
      </c>
      <c r="L107" s="17">
        <v>154.25704397180905</v>
      </c>
      <c r="M107" s="8" t="s">
        <v>21</v>
      </c>
      <c r="O107" s="15">
        <v>300</v>
      </c>
      <c r="P107" s="10">
        <v>867.9889827830037</v>
      </c>
      <c r="Q107" s="11">
        <v>328.22075866825014</v>
      </c>
      <c r="R107" s="199">
        <v>238.04901635621272</v>
      </c>
      <c r="S107" s="14">
        <v>166.0011290827703</v>
      </c>
      <c r="T107" s="200">
        <f t="shared" si="5"/>
        <v>179.54790489086352</v>
      </c>
      <c r="U107" s="200">
        <f t="shared" si="6"/>
        <v>1457.9289877138117</v>
      </c>
      <c r="V107" s="200">
        <f t="shared" si="7"/>
        <v>1371.7459933661974</v>
      </c>
      <c r="W107" s="200">
        <f t="shared" si="8"/>
        <v>974.9451235573889</v>
      </c>
      <c r="X107" s="197">
        <f t="shared" si="9"/>
        <v>779.9560988459112</v>
      </c>
    </row>
    <row r="108" spans="1:24" ht="15">
      <c r="A108" s="15">
        <v>350</v>
      </c>
      <c r="B108" s="10">
        <v>1677.4823123784124</v>
      </c>
      <c r="C108" s="1">
        <v>999.9999999999998</v>
      </c>
      <c r="D108" s="2" t="s">
        <v>21</v>
      </c>
      <c r="E108" s="11">
        <v>1578.3207963757477</v>
      </c>
      <c r="F108" s="12">
        <v>332.80680224974486</v>
      </c>
      <c r="G108" s="4" t="s">
        <v>21</v>
      </c>
      <c r="H108" s="13">
        <v>1121.7646497801454</v>
      </c>
      <c r="I108" s="16">
        <v>231.39088940991937</v>
      </c>
      <c r="J108" s="6" t="s">
        <v>21</v>
      </c>
      <c r="K108" s="14">
        <v>897.4117198241164</v>
      </c>
      <c r="L108" s="17">
        <v>153.9324028179746</v>
      </c>
      <c r="M108" s="8" t="s">
        <v>21</v>
      </c>
      <c r="O108" s="15">
        <v>350</v>
      </c>
      <c r="P108" s="10">
        <v>1008.8973560951571</v>
      </c>
      <c r="Q108" s="11">
        <v>381.05448344792393</v>
      </c>
      <c r="R108" s="199">
        <v>276.2443600274384</v>
      </c>
      <c r="S108" s="14">
        <v>192.59015243946592</v>
      </c>
      <c r="T108" s="200">
        <f t="shared" si="5"/>
        <v>206.5864916722183</v>
      </c>
      <c r="U108" s="200">
        <f t="shared" si="6"/>
        <v>1677.4823123784124</v>
      </c>
      <c r="V108" s="200">
        <f t="shared" si="7"/>
        <v>1578.3207963757477</v>
      </c>
      <c r="W108" s="200">
        <f t="shared" si="8"/>
        <v>1121.7646497801454</v>
      </c>
      <c r="X108" s="197">
        <f t="shared" si="9"/>
        <v>897.4117198241164</v>
      </c>
    </row>
  </sheetData>
  <mergeCells count="10">
    <mergeCell ref="P2:S2"/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VERDUGO ISRAEL</dc:creator>
  <cp:keywords/>
  <dc:description/>
  <cp:lastModifiedBy>TOBIAS VERDUGO ISRAEL</cp:lastModifiedBy>
  <dcterms:created xsi:type="dcterms:W3CDTF">2018-08-22T16:08:20Z</dcterms:created>
  <dcterms:modified xsi:type="dcterms:W3CDTF">2019-05-15T16:35:08Z</dcterms:modified>
  <cp:category/>
  <cp:version/>
  <cp:contentType/>
  <cp:contentStatus/>
</cp:coreProperties>
</file>